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0380" activeTab="6"/>
  </bookViews>
  <sheets>
    <sheet name="STEP1" sheetId="1" r:id="rId1"/>
    <sheet name="STEP2" sheetId="2" r:id="rId2"/>
    <sheet name="STEP3" sheetId="3" r:id="rId3"/>
    <sheet name="STEP4" sheetId="4" r:id="rId4"/>
    <sheet name="STEP5" sheetId="5" r:id="rId5"/>
    <sheet name="STEP6-7" sheetId="6" r:id="rId6"/>
    <sheet name="STEP8" sheetId="7" r:id="rId7"/>
  </sheets>
  <definedNames/>
  <calcPr fullCalcOnLoad="1"/>
</workbook>
</file>

<file path=xl/sharedStrings.xml><?xml version="1.0" encoding="utf-8"?>
<sst xmlns="http://schemas.openxmlformats.org/spreadsheetml/2006/main" count="372" uniqueCount="214">
  <si>
    <t>Kv2</t>
  </si>
  <si>
    <t>Kv3</t>
  </si>
  <si>
    <t>Kv4</t>
  </si>
  <si>
    <t>dv3</t>
  </si>
  <si>
    <t>dv4</t>
  </si>
  <si>
    <t>H (m)</t>
  </si>
  <si>
    <t>Kv1(KN/m)</t>
  </si>
  <si>
    <t>dv2 (m)</t>
  </si>
  <si>
    <t>Ko1(KN/m)</t>
  </si>
  <si>
    <t>Ko2</t>
  </si>
  <si>
    <t>Ko3</t>
  </si>
  <si>
    <t>do3</t>
  </si>
  <si>
    <t xml:space="preserve"> </t>
  </si>
  <si>
    <t>y</t>
  </si>
  <si>
    <t>c</t>
  </si>
  <si>
    <t>q_p</t>
  </si>
  <si>
    <t>q_a</t>
  </si>
  <si>
    <t>Area tot (mq)</t>
  </si>
  <si>
    <t>q_s (KN/mq)</t>
  </si>
  <si>
    <t>X_G</t>
  </si>
  <si>
    <t>Y_G</t>
  </si>
  <si>
    <t>x_G1 (m)</t>
  </si>
  <si>
    <t>Y_C</t>
  </si>
  <si>
    <t>X_C (m)</t>
  </si>
  <si>
    <t>y_G1</t>
  </si>
  <si>
    <t>dd_v1</t>
  </si>
  <si>
    <t>dd_v2</t>
  </si>
  <si>
    <t>dd_v3</t>
  </si>
  <si>
    <t>dd_v4</t>
  </si>
  <si>
    <t>dd_o1</t>
  </si>
  <si>
    <t>dd_o2</t>
  </si>
  <si>
    <t>dd_o3</t>
  </si>
  <si>
    <t>modulo di Young</t>
  </si>
  <si>
    <t>rigidezza traslante contr.vert.1</t>
  </si>
  <si>
    <t>rigidezza traslante contr.vert.2</t>
  </si>
  <si>
    <t>rigidezza traslante contr.vert.3</t>
  </si>
  <si>
    <t>rigidezza traslante contr.vert.4</t>
  </si>
  <si>
    <t>rigidezza traslante contr.orizz.1</t>
  </si>
  <si>
    <t>rigidezza traslante contr.orizz.2</t>
  </si>
  <si>
    <t>rigidezza traslante contr.orizz.3</t>
  </si>
  <si>
    <t>distanza orizzontale controvento dal punto O</t>
  </si>
  <si>
    <t>distanza verticale controvento punto O</t>
  </si>
  <si>
    <t>do2</t>
  </si>
  <si>
    <t>Area totale impalcato</t>
  </si>
  <si>
    <t>coordinata X centro area 1</t>
  </si>
  <si>
    <t>coordinata Y centro area 1</t>
  </si>
  <si>
    <t>coordinata X centro rigidezze</t>
  </si>
  <si>
    <t>coordinata Y centro rigidezze</t>
  </si>
  <si>
    <t>rigidezza totale orizzontale</t>
  </si>
  <si>
    <t>rigidezza totale verticale</t>
  </si>
  <si>
    <t>distanze controvento dal centro rigidezze</t>
  </si>
  <si>
    <t>rigidezza torsionale totale</t>
  </si>
  <si>
    <t>ϕ</t>
  </si>
  <si>
    <t>Fv2</t>
  </si>
  <si>
    <t>Fv3</t>
  </si>
  <si>
    <t>Fv4</t>
  </si>
  <si>
    <t>Fo1</t>
  </si>
  <si>
    <t>Fo2</t>
  </si>
  <si>
    <t>Fo3</t>
  </si>
  <si>
    <t>carico permanente di natura strutturale</t>
  </si>
  <si>
    <t>sovraccarico permanente</t>
  </si>
  <si>
    <t>sovraccarico accidentale</t>
  </si>
  <si>
    <t>carico totale permamente</t>
  </si>
  <si>
    <t>carico totale accidentale</t>
  </si>
  <si>
    <t>coefficiente di contemporaneità</t>
  </si>
  <si>
    <t>Pesi sismici</t>
  </si>
  <si>
    <t>coefficiente di intensità sismica</t>
  </si>
  <si>
    <t>rotazione impalcato</t>
  </si>
  <si>
    <t>Forza sul controvento verticale 1</t>
  </si>
  <si>
    <t>Forza sul controvento verticale 2</t>
  </si>
  <si>
    <t>Forza sul controvento verticale 3</t>
  </si>
  <si>
    <t>Forza sul controvento verticale 4</t>
  </si>
  <si>
    <t>Forza sul controvento orizzontale 1</t>
  </si>
  <si>
    <t>Forza sul controvento orizzontale 2</t>
  </si>
  <si>
    <t>Forza sul controvento orizzontale 3</t>
  </si>
  <si>
    <t>G (KN)</t>
  </si>
  <si>
    <t>traslazione orizzontale</t>
  </si>
  <si>
    <t>traslazione verticale</t>
  </si>
  <si>
    <t>K_ϕ (KN*m)</t>
  </si>
  <si>
    <t xml:space="preserve"> E (N/mmq)</t>
  </si>
  <si>
    <t>I_1</t>
  </si>
  <si>
    <t>I_2</t>
  </si>
  <si>
    <t>I_3</t>
  </si>
  <si>
    <t>I_4</t>
  </si>
  <si>
    <t>momento d'inerzia pilastro 1</t>
  </si>
  <si>
    <t>momento d'inerzia pilastro 2</t>
  </si>
  <si>
    <t>momento d'inerzia pilastro 3</t>
  </si>
  <si>
    <t>momento d'inerzia pilastro 4</t>
  </si>
  <si>
    <t>K_T</t>
  </si>
  <si>
    <t>rigidezza traslante telaio 1</t>
  </si>
  <si>
    <t>rigidezza traslante telaio 2</t>
  </si>
  <si>
    <t>rigidezza traslante telaio 4</t>
  </si>
  <si>
    <t>rigidezza traslante telaio 5</t>
  </si>
  <si>
    <t>rigidezza traslante telaio 6</t>
  </si>
  <si>
    <t>I_1 (cm^4)</t>
  </si>
  <si>
    <t xml:space="preserve"> E</t>
  </si>
  <si>
    <t>H</t>
  </si>
  <si>
    <t>altezza dei pilastri</t>
  </si>
  <si>
    <t>area_1 (mq)</t>
  </si>
  <si>
    <t>misura dell'area superficie 1area 1 (misura)</t>
  </si>
  <si>
    <t>coordinata X centro d'area impalcato (centro massa)</t>
  </si>
  <si>
    <t>coordinata Y centro d'area impalcato (centro massa)</t>
  </si>
  <si>
    <t>K_T (KN/m)</t>
  </si>
  <si>
    <t>Step 1: calcolo delle rigidezze traslanti dei controventi dell'edificio</t>
  </si>
  <si>
    <t>Step 2: tabella sinottica controventi e distanze</t>
  </si>
  <si>
    <t>Step 3: calcolo del centro di massa</t>
  </si>
  <si>
    <t>Step 4: calcolo del centro di rigidezze e delle rigidezze globali</t>
  </si>
  <si>
    <t>Step 5: analisi dei carichi sismici</t>
  </si>
  <si>
    <t>Q (KN)</t>
  </si>
  <si>
    <t>W (KN)</t>
  </si>
  <si>
    <t>F (KN)</t>
  </si>
  <si>
    <t>Forza sismica orizzontale</t>
  </si>
  <si>
    <t>Step 6: ripartizione forza sismica lungo X</t>
  </si>
  <si>
    <t>Step 7: ripartizione forza sismica lungo Y</t>
  </si>
  <si>
    <t>M (KN*m)</t>
  </si>
  <si>
    <t>M (KN*M)</t>
  </si>
  <si>
    <t>Kv_tot</t>
  </si>
  <si>
    <t>u_o (m)</t>
  </si>
  <si>
    <t>Fv1 (KN)</t>
  </si>
  <si>
    <t>v_o (KN)</t>
  </si>
  <si>
    <t>momento torcente (positivo se antiorario)</t>
  </si>
  <si>
    <t>rotazione impalcato (positiva se antioraria)</t>
  </si>
  <si>
    <t>momento torcente</t>
  </si>
  <si>
    <t>pilastri che individuano il telaio</t>
  </si>
  <si>
    <t>Telaio 1v</t>
  </si>
  <si>
    <t>Telaio 2v</t>
  </si>
  <si>
    <t>Telaio 3v</t>
  </si>
  <si>
    <t>Telaio 4v</t>
  </si>
  <si>
    <t xml:space="preserve">                                                                                                                 </t>
  </si>
  <si>
    <t>Telaio 5v</t>
  </si>
  <si>
    <t>Telaio 6v</t>
  </si>
  <si>
    <t>I_5</t>
  </si>
  <si>
    <t>I_6</t>
  </si>
  <si>
    <t>momento d'inerzia pilastro 5</t>
  </si>
  <si>
    <t>Kv5</t>
  </si>
  <si>
    <t>Kv6</t>
  </si>
  <si>
    <t>rigidezza traslante contr.vert.5</t>
  </si>
  <si>
    <t>rigidezza traslante contr.vert.6</t>
  </si>
  <si>
    <t>dv5</t>
  </si>
  <si>
    <t>dv6</t>
  </si>
  <si>
    <t>do4</t>
  </si>
  <si>
    <t>Ko4</t>
  </si>
  <si>
    <t>dd_v5</t>
  </si>
  <si>
    <t>dd_v6</t>
  </si>
  <si>
    <t>dd_o4</t>
  </si>
  <si>
    <t>x</t>
  </si>
  <si>
    <t>rigidezza traslante contr.orizz4</t>
  </si>
  <si>
    <t>1-7-13-19</t>
  </si>
  <si>
    <t>momento d'inerzia pilastro 7</t>
  </si>
  <si>
    <t>momento d'inerzia pilastro 13</t>
  </si>
  <si>
    <t>momento d'inerzia pilastro 19</t>
  </si>
  <si>
    <t>I_7</t>
  </si>
  <si>
    <t>I_13</t>
  </si>
  <si>
    <t>I_19</t>
  </si>
  <si>
    <t>2-8-14-20</t>
  </si>
  <si>
    <t>I_8</t>
  </si>
  <si>
    <t>momento d'inerzia pilastro 8</t>
  </si>
  <si>
    <t>I_14</t>
  </si>
  <si>
    <t>momento d'inerzia pilastro 14</t>
  </si>
  <si>
    <t>I_20</t>
  </si>
  <si>
    <t>momento d'inerzia pilastro 20</t>
  </si>
  <si>
    <t>3-9-15-21</t>
  </si>
  <si>
    <t>I_9</t>
  </si>
  <si>
    <t>I_15</t>
  </si>
  <si>
    <t>I_21</t>
  </si>
  <si>
    <t>momento d'inerzia pilastro 9</t>
  </si>
  <si>
    <t>momento d'inerzia pilastro 15</t>
  </si>
  <si>
    <t>momento d'inerzia pilastro 21</t>
  </si>
  <si>
    <t>rigidezza traslante telaio 3</t>
  </si>
  <si>
    <t>rigidezza traslante telaio 7</t>
  </si>
  <si>
    <t>rigidezza traslante telaio 8</t>
  </si>
  <si>
    <t>rigidezza traslante telaio 9</t>
  </si>
  <si>
    <t>rigidezza traslante telaio 10</t>
  </si>
  <si>
    <t>4-10-16-22</t>
  </si>
  <si>
    <t>5-11-17-23</t>
  </si>
  <si>
    <t>6-12-18-24</t>
  </si>
  <si>
    <t>I_10</t>
  </si>
  <si>
    <t>I_16</t>
  </si>
  <si>
    <t>I_22</t>
  </si>
  <si>
    <t>momento d'inerzia pilastro 10</t>
  </si>
  <si>
    <t>momento d'inerzia pilastro 16</t>
  </si>
  <si>
    <t>momento d'inerzia pilastro 22</t>
  </si>
  <si>
    <t>I_11</t>
  </si>
  <si>
    <t>I_17</t>
  </si>
  <si>
    <t>I_23</t>
  </si>
  <si>
    <t>momento d'inerzia pilastro 11</t>
  </si>
  <si>
    <t>momento d'inerzia pilastro 17</t>
  </si>
  <si>
    <t>momento d'inerzia pilastro 23</t>
  </si>
  <si>
    <t>I_12</t>
  </si>
  <si>
    <t>I_18</t>
  </si>
  <si>
    <t>I_24</t>
  </si>
  <si>
    <t>momento d'inerzia pilastro 6</t>
  </si>
  <si>
    <t>momento d'inerzia pilastro 12</t>
  </si>
  <si>
    <t>momento d'inerzia pilastro 18</t>
  </si>
  <si>
    <t>momento d'inerzia pilastro 24</t>
  </si>
  <si>
    <t>Telaio 1or</t>
  </si>
  <si>
    <t>1-2-3-4-5-6</t>
  </si>
  <si>
    <t>Telaio 2or</t>
  </si>
  <si>
    <t>7-8-9-10-11-12</t>
  </si>
  <si>
    <t>13-14-15-16-17-18</t>
  </si>
  <si>
    <t>Telaio 3or</t>
  </si>
  <si>
    <t>Telaio 4or</t>
  </si>
  <si>
    <t>19-20-21-22-23-24</t>
  </si>
  <si>
    <t>area_2 (mq)</t>
  </si>
  <si>
    <t>x_G2 (m)</t>
  </si>
  <si>
    <t>y_G2</t>
  </si>
  <si>
    <t>Kor_tot</t>
  </si>
  <si>
    <t>Fv5</t>
  </si>
  <si>
    <t>Fv6</t>
  </si>
  <si>
    <t>Forza sul controvento verticale 5</t>
  </si>
  <si>
    <t>Forza sul controvento verticale 6</t>
  </si>
  <si>
    <t>Fo4</t>
  </si>
  <si>
    <t>Forza sul controvento orizzontale 4</t>
  </si>
  <si>
    <t>Step 8: ripartizione forza sismica per piano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</si>
</sst>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"/>
    <numFmt numFmtId="173" formatCode="0.000"/>
    <numFmt numFmtId="174" formatCode="0.0000"/>
    <numFmt numFmtId="175" formatCode="0.0"/>
    <numFmt numFmtId="176" formatCode="0.000000"/>
  </numFmts>
  <fonts count="45">
    <font>
      <sz val="10"/>
      <name val="Arial"/>
      <family val="0"/>
    </font>
    <font>
      <b/>
      <sz val="10"/>
      <name val="Helvetica"/>
      <family val="0"/>
    </font>
    <font>
      <sz val="10"/>
      <name val="Helvetica"/>
      <family val="0"/>
    </font>
    <font>
      <sz val="9"/>
      <name val="Helvetica"/>
      <family val="0"/>
    </font>
    <font>
      <b/>
      <sz val="9"/>
      <name val="Helvetica"/>
      <family val="0"/>
    </font>
    <font>
      <b/>
      <sz val="8"/>
      <name val="Helvetic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1" fillId="2" borderId="16" xfId="0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17" xfId="0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/>
    </xf>
    <xf numFmtId="172" fontId="3" fillId="2" borderId="16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2" borderId="16" xfId="0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2" borderId="21" xfId="0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0" fontId="4" fillId="2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49" fontId="5" fillId="0" borderId="11" xfId="0" applyNumberFormat="1" applyFont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74" fontId="3" fillId="2" borderId="16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0" fillId="33" borderId="18" xfId="0" applyNumberFormat="1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zoomScale="80" zoomScaleNormal="80" zoomScalePageLayoutView="0" workbookViewId="0" topLeftCell="A31">
      <selection activeCell="M23" sqref="L23:M23"/>
    </sheetView>
  </sheetViews>
  <sheetFormatPr defaultColWidth="9.00390625" defaultRowHeight="12.75"/>
  <cols>
    <col min="1" max="1" width="11.7109375" style="2" bestFit="1" customWidth="1"/>
    <col min="2" max="2" width="14.00390625" style="3" customWidth="1"/>
    <col min="3" max="3" width="45.28125" style="1" bestFit="1" customWidth="1"/>
    <col min="4" max="4" width="10.7109375" style="1" customWidth="1"/>
    <col min="5" max="5" width="13.140625" style="2" customWidth="1"/>
    <col min="6" max="6" width="25.28125" style="2" customWidth="1"/>
    <col min="7" max="7" width="45.28125" style="1" customWidth="1"/>
    <col min="8" max="8" width="9.7109375" style="1" customWidth="1"/>
    <col min="9" max="9" width="10.7109375" style="1" customWidth="1"/>
    <col min="10" max="10" width="9.421875" style="1" customWidth="1"/>
    <col min="11" max="11" width="6.00390625" style="1" customWidth="1"/>
    <col min="12" max="12" width="6.140625" style="1" customWidth="1"/>
    <col min="13" max="13" width="6.8515625" style="1" customWidth="1"/>
    <col min="14" max="14" width="7.140625" style="1" customWidth="1"/>
    <col min="15" max="16384" width="9.00390625" style="1" customWidth="1"/>
  </cols>
  <sheetData>
    <row r="1" spans="1:7" ht="12.75">
      <c r="A1" s="67" t="s">
        <v>103</v>
      </c>
      <c r="B1" s="68"/>
      <c r="C1" s="68"/>
      <c r="D1" s="68"/>
      <c r="E1" s="68"/>
      <c r="F1" s="68"/>
      <c r="G1" s="69"/>
    </row>
    <row r="2" spans="1:7" ht="13.5" thickBot="1">
      <c r="A2" s="70"/>
      <c r="B2" s="71"/>
      <c r="C2" s="71"/>
      <c r="D2" s="71"/>
      <c r="E2" s="71"/>
      <c r="F2" s="71"/>
      <c r="G2" s="72"/>
    </row>
    <row r="3" ht="13.5" thickBot="1"/>
    <row r="4" spans="1:8" ht="13.5" thickBot="1">
      <c r="A4" s="4" t="s">
        <v>124</v>
      </c>
      <c r="B4" s="5" t="s">
        <v>147</v>
      </c>
      <c r="C4" s="6" t="s">
        <v>123</v>
      </c>
      <c r="D4" s="1" t="s">
        <v>12</v>
      </c>
      <c r="E4" s="4" t="s">
        <v>195</v>
      </c>
      <c r="F4" s="56" t="s">
        <v>196</v>
      </c>
      <c r="G4" s="6" t="s">
        <v>123</v>
      </c>
      <c r="H4" s="1" t="s">
        <v>12</v>
      </c>
    </row>
    <row r="5" spans="1:7" ht="12.75">
      <c r="A5" s="7" t="s">
        <v>79</v>
      </c>
      <c r="B5" s="8">
        <v>33346</v>
      </c>
      <c r="C5" s="9" t="s">
        <v>32</v>
      </c>
      <c r="E5" s="7" t="s">
        <v>95</v>
      </c>
      <c r="F5" s="8">
        <f>B5</f>
        <v>33346</v>
      </c>
      <c r="G5" s="9" t="s">
        <v>32</v>
      </c>
    </row>
    <row r="6" spans="1:7" ht="12.75">
      <c r="A6" s="10" t="s">
        <v>5</v>
      </c>
      <c r="B6" s="11">
        <v>2.7</v>
      </c>
      <c r="C6" s="12" t="s">
        <v>97</v>
      </c>
      <c r="E6" s="10" t="s">
        <v>96</v>
      </c>
      <c r="F6" s="11">
        <f>B6</f>
        <v>2.7</v>
      </c>
      <c r="G6" s="12" t="s">
        <v>97</v>
      </c>
    </row>
    <row r="7" spans="1:7" ht="12.75">
      <c r="A7" s="13" t="s">
        <v>94</v>
      </c>
      <c r="B7" s="57">
        <v>520833.3</v>
      </c>
      <c r="C7" s="15" t="s">
        <v>84</v>
      </c>
      <c r="E7" s="13" t="s">
        <v>80</v>
      </c>
      <c r="F7" s="14">
        <f aca="true" t="shared" si="0" ref="F7:F12">$B$7</f>
        <v>520833.3</v>
      </c>
      <c r="G7" s="15" t="s">
        <v>84</v>
      </c>
    </row>
    <row r="8" spans="1:7" ht="15" customHeight="1">
      <c r="A8" s="13" t="s">
        <v>151</v>
      </c>
      <c r="B8" s="57">
        <v>520833.3</v>
      </c>
      <c r="C8" s="15" t="s">
        <v>148</v>
      </c>
      <c r="E8" s="13" t="s">
        <v>81</v>
      </c>
      <c r="F8" s="14">
        <f t="shared" si="0"/>
        <v>520833.3</v>
      </c>
      <c r="G8" s="15" t="s">
        <v>85</v>
      </c>
    </row>
    <row r="9" spans="1:7" ht="12.75">
      <c r="A9" s="13" t="s">
        <v>152</v>
      </c>
      <c r="B9" s="57">
        <v>520833.3</v>
      </c>
      <c r="C9" s="15" t="s">
        <v>149</v>
      </c>
      <c r="E9" s="13" t="s">
        <v>82</v>
      </c>
      <c r="F9" s="14">
        <f t="shared" si="0"/>
        <v>520833.3</v>
      </c>
      <c r="G9" s="15" t="s">
        <v>86</v>
      </c>
    </row>
    <row r="10" spans="1:7" ht="12.75">
      <c r="A10" s="13" t="s">
        <v>153</v>
      </c>
      <c r="B10" s="57">
        <v>520833.3</v>
      </c>
      <c r="C10" s="16" t="s">
        <v>150</v>
      </c>
      <c r="D10" s="17"/>
      <c r="E10" s="13" t="s">
        <v>83</v>
      </c>
      <c r="F10" s="14">
        <f t="shared" si="0"/>
        <v>520833.3</v>
      </c>
      <c r="G10" s="15" t="s">
        <v>87</v>
      </c>
    </row>
    <row r="11" spans="1:7" ht="12.75">
      <c r="A11" s="18" t="s">
        <v>102</v>
      </c>
      <c r="B11" s="19">
        <f>12*B5*SUM(B7:B10)/B6^3*10^(-5)</f>
        <v>423538.0514385002</v>
      </c>
      <c r="C11" s="20" t="s">
        <v>89</v>
      </c>
      <c r="D11" s="17"/>
      <c r="E11" s="13" t="s">
        <v>131</v>
      </c>
      <c r="F11" s="14">
        <f t="shared" si="0"/>
        <v>520833.3</v>
      </c>
      <c r="G11" s="15" t="s">
        <v>133</v>
      </c>
    </row>
    <row r="12" spans="1:7" ht="13.5" thickBot="1">
      <c r="A12" s="21" t="s">
        <v>12</v>
      </c>
      <c r="B12" s="22" t="s">
        <v>12</v>
      </c>
      <c r="C12" s="23" t="s">
        <v>12</v>
      </c>
      <c r="D12" s="24"/>
      <c r="E12" s="13" t="s">
        <v>132</v>
      </c>
      <c r="F12" s="14">
        <f t="shared" si="0"/>
        <v>520833.3</v>
      </c>
      <c r="G12" s="15" t="s">
        <v>191</v>
      </c>
    </row>
    <row r="13" spans="1:8" ht="13.5" thickBot="1">
      <c r="A13" s="4" t="s">
        <v>125</v>
      </c>
      <c r="B13" s="5" t="s">
        <v>154</v>
      </c>
      <c r="C13" s="6" t="s">
        <v>123</v>
      </c>
      <c r="D13" s="1" t="s">
        <v>12</v>
      </c>
      <c r="E13" s="18" t="s">
        <v>88</v>
      </c>
      <c r="F13" s="19">
        <f>12*F5*SUM(F7:F12)/F6^3*10^(-5)</f>
        <v>635307.0771577503</v>
      </c>
      <c r="G13" s="25" t="s">
        <v>169</v>
      </c>
      <c r="H13" s="1" t="s">
        <v>12</v>
      </c>
    </row>
    <row r="14" spans="1:7" ht="13.5" thickBot="1">
      <c r="A14" s="7" t="s">
        <v>95</v>
      </c>
      <c r="B14" s="8">
        <f aca="true" t="shared" si="1" ref="B14:B19">B5</f>
        <v>33346</v>
      </c>
      <c r="C14" s="9" t="s">
        <v>32</v>
      </c>
      <c r="E14" s="26"/>
      <c r="F14" s="27"/>
      <c r="G14" s="28"/>
    </row>
    <row r="15" spans="1:7" ht="13.5" thickBot="1">
      <c r="A15" s="10" t="s">
        <v>96</v>
      </c>
      <c r="B15" s="11">
        <f t="shared" si="1"/>
        <v>2.7</v>
      </c>
      <c r="C15" s="12" t="s">
        <v>97</v>
      </c>
      <c r="E15" s="4" t="s">
        <v>197</v>
      </c>
      <c r="F15" s="5" t="s">
        <v>198</v>
      </c>
      <c r="G15" s="6" t="s">
        <v>123</v>
      </c>
    </row>
    <row r="16" spans="1:7" ht="12.75">
      <c r="A16" s="13" t="s">
        <v>81</v>
      </c>
      <c r="B16" s="14">
        <f t="shared" si="1"/>
        <v>520833.3</v>
      </c>
      <c r="C16" s="15" t="s">
        <v>85</v>
      </c>
      <c r="E16" s="7" t="s">
        <v>95</v>
      </c>
      <c r="F16" s="8">
        <f aca="true" t="shared" si="2" ref="F16:F23">F5</f>
        <v>33346</v>
      </c>
      <c r="G16" s="9" t="s">
        <v>32</v>
      </c>
    </row>
    <row r="17" spans="1:7" ht="15" customHeight="1">
      <c r="A17" s="13" t="s">
        <v>155</v>
      </c>
      <c r="B17" s="14">
        <f t="shared" si="1"/>
        <v>520833.3</v>
      </c>
      <c r="C17" s="15" t="s">
        <v>156</v>
      </c>
      <c r="E17" s="10" t="s">
        <v>96</v>
      </c>
      <c r="F17" s="11">
        <f t="shared" si="2"/>
        <v>2.7</v>
      </c>
      <c r="G17" s="12" t="s">
        <v>97</v>
      </c>
    </row>
    <row r="18" spans="1:7" ht="12.75">
      <c r="A18" s="13" t="s">
        <v>157</v>
      </c>
      <c r="B18" s="14">
        <f t="shared" si="1"/>
        <v>520833.3</v>
      </c>
      <c r="C18" s="15" t="s">
        <v>158</v>
      </c>
      <c r="E18" s="13" t="s">
        <v>151</v>
      </c>
      <c r="F18" s="14">
        <f t="shared" si="2"/>
        <v>520833.3</v>
      </c>
      <c r="G18" s="15" t="s">
        <v>148</v>
      </c>
    </row>
    <row r="19" spans="1:7" ht="12.75">
      <c r="A19" s="13" t="s">
        <v>159</v>
      </c>
      <c r="B19" s="14">
        <f t="shared" si="1"/>
        <v>520833.3</v>
      </c>
      <c r="C19" s="16" t="s">
        <v>160</v>
      </c>
      <c r="D19" s="17"/>
      <c r="E19" s="13" t="s">
        <v>155</v>
      </c>
      <c r="F19" s="14">
        <f t="shared" si="2"/>
        <v>520833.3</v>
      </c>
      <c r="G19" s="15" t="s">
        <v>156</v>
      </c>
    </row>
    <row r="20" spans="1:7" ht="12.75">
      <c r="A20" s="18" t="s">
        <v>88</v>
      </c>
      <c r="B20" s="19">
        <f>12*B14*SUM(B16:B19)/B15^3*10^(-5)</f>
        <v>423538.0514385002</v>
      </c>
      <c r="C20" s="25" t="s">
        <v>90</v>
      </c>
      <c r="D20" s="17"/>
      <c r="E20" s="13" t="s">
        <v>162</v>
      </c>
      <c r="F20" s="14">
        <f t="shared" si="2"/>
        <v>520833.3</v>
      </c>
      <c r="G20" s="15" t="s">
        <v>165</v>
      </c>
    </row>
    <row r="21" spans="1:7" ht="13.5" thickBot="1">
      <c r="A21" s="29" t="s">
        <v>12</v>
      </c>
      <c r="B21" s="27"/>
      <c r="C21" s="28"/>
      <c r="D21" s="24"/>
      <c r="E21" s="13" t="s">
        <v>176</v>
      </c>
      <c r="F21" s="14">
        <f t="shared" si="2"/>
        <v>520833.3</v>
      </c>
      <c r="G21" s="15" t="s">
        <v>179</v>
      </c>
    </row>
    <row r="22" spans="1:7" ht="13.5" thickBot="1">
      <c r="A22" s="4" t="s">
        <v>126</v>
      </c>
      <c r="B22" s="5" t="s">
        <v>161</v>
      </c>
      <c r="C22" s="6" t="s">
        <v>123</v>
      </c>
      <c r="D22" s="24"/>
      <c r="E22" s="13" t="s">
        <v>182</v>
      </c>
      <c r="F22" s="14">
        <f t="shared" si="2"/>
        <v>520833.3</v>
      </c>
      <c r="G22" s="15" t="s">
        <v>185</v>
      </c>
    </row>
    <row r="23" spans="1:7" ht="12.75">
      <c r="A23" s="7" t="s">
        <v>95</v>
      </c>
      <c r="B23" s="8">
        <f aca="true" t="shared" si="3" ref="B23:B28">B14</f>
        <v>33346</v>
      </c>
      <c r="C23" s="9" t="s">
        <v>32</v>
      </c>
      <c r="E23" s="13" t="s">
        <v>188</v>
      </c>
      <c r="F23" s="14">
        <f t="shared" si="2"/>
        <v>520833.3</v>
      </c>
      <c r="G23" s="15" t="s">
        <v>192</v>
      </c>
    </row>
    <row r="24" spans="1:7" ht="12.75">
      <c r="A24" s="10" t="s">
        <v>96</v>
      </c>
      <c r="B24" s="11">
        <f t="shared" si="3"/>
        <v>2.7</v>
      </c>
      <c r="C24" s="12" t="s">
        <v>97</v>
      </c>
      <c r="E24" s="18" t="s">
        <v>88</v>
      </c>
      <c r="F24" s="19">
        <f>12*F16*SUM(F18:F23)/F17^3*10^(-5)</f>
        <v>635307.0771577503</v>
      </c>
      <c r="G24" s="25" t="s">
        <v>170</v>
      </c>
    </row>
    <row r="25" spans="1:7" ht="13.5" thickBot="1">
      <c r="A25" s="13" t="s">
        <v>82</v>
      </c>
      <c r="B25" s="57">
        <f t="shared" si="3"/>
        <v>520833.3</v>
      </c>
      <c r="C25" s="15" t="s">
        <v>86</v>
      </c>
      <c r="E25" s="26"/>
      <c r="F25" s="27"/>
      <c r="G25" s="28"/>
    </row>
    <row r="26" spans="1:7" ht="13.5" thickBot="1">
      <c r="A26" s="13" t="s">
        <v>162</v>
      </c>
      <c r="B26" s="57">
        <f t="shared" si="3"/>
        <v>520833.3</v>
      </c>
      <c r="C26" s="15" t="s">
        <v>165</v>
      </c>
      <c r="E26" s="4" t="s">
        <v>200</v>
      </c>
      <c r="F26" s="5" t="s">
        <v>199</v>
      </c>
      <c r="G26" s="6" t="s">
        <v>123</v>
      </c>
    </row>
    <row r="27" spans="1:7" ht="12.75">
      <c r="A27" s="13" t="s">
        <v>163</v>
      </c>
      <c r="B27" s="57">
        <f t="shared" si="3"/>
        <v>520833.3</v>
      </c>
      <c r="C27" s="15" t="s">
        <v>166</v>
      </c>
      <c r="E27" s="7" t="s">
        <v>95</v>
      </c>
      <c r="F27" s="8">
        <f aca="true" t="shared" si="4" ref="F27:F34">F16</f>
        <v>33346</v>
      </c>
      <c r="G27" s="9" t="s">
        <v>32</v>
      </c>
    </row>
    <row r="28" spans="1:7" ht="12.75">
      <c r="A28" s="13" t="s">
        <v>164</v>
      </c>
      <c r="B28" s="57">
        <f t="shared" si="3"/>
        <v>520833.3</v>
      </c>
      <c r="C28" s="15" t="s">
        <v>167</v>
      </c>
      <c r="E28" s="10" t="s">
        <v>96</v>
      </c>
      <c r="F28" s="11">
        <f t="shared" si="4"/>
        <v>2.7</v>
      </c>
      <c r="G28" s="12" t="s">
        <v>97</v>
      </c>
    </row>
    <row r="29" spans="1:7" ht="12.75">
      <c r="A29" s="18" t="s">
        <v>88</v>
      </c>
      <c r="B29" s="19">
        <f>12*B23*SUM(B25:B28)/B24^3*10^(-5)</f>
        <v>423538.0514385002</v>
      </c>
      <c r="C29" s="25" t="s">
        <v>168</v>
      </c>
      <c r="E29" s="13" t="s">
        <v>152</v>
      </c>
      <c r="F29" s="14">
        <f t="shared" si="4"/>
        <v>520833.3</v>
      </c>
      <c r="G29" s="15" t="s">
        <v>84</v>
      </c>
    </row>
    <row r="30" spans="1:7" ht="13.5" thickBot="1">
      <c r="A30" s="26" t="s">
        <v>12</v>
      </c>
      <c r="B30" s="27" t="s">
        <v>12</v>
      </c>
      <c r="C30" s="28" t="s">
        <v>12</v>
      </c>
      <c r="D30" s="28"/>
      <c r="E30" s="13" t="s">
        <v>157</v>
      </c>
      <c r="F30" s="14">
        <f t="shared" si="4"/>
        <v>520833.3</v>
      </c>
      <c r="G30" s="15" t="s">
        <v>85</v>
      </c>
    </row>
    <row r="31" spans="1:7" ht="13.5" thickBot="1">
      <c r="A31" s="4" t="s">
        <v>127</v>
      </c>
      <c r="B31" s="5" t="s">
        <v>173</v>
      </c>
      <c r="C31" s="6" t="s">
        <v>123</v>
      </c>
      <c r="D31" s="24"/>
      <c r="E31" s="13" t="s">
        <v>163</v>
      </c>
      <c r="F31" s="14">
        <f t="shared" si="4"/>
        <v>520833.3</v>
      </c>
      <c r="G31" s="15" t="s">
        <v>86</v>
      </c>
    </row>
    <row r="32" spans="1:7" ht="12.75">
      <c r="A32" s="7" t="s">
        <v>95</v>
      </c>
      <c r="B32" s="8">
        <f aca="true" t="shared" si="5" ref="B32:B37">B23</f>
        <v>33346</v>
      </c>
      <c r="C32" s="9" t="s">
        <v>32</v>
      </c>
      <c r="E32" s="13" t="s">
        <v>177</v>
      </c>
      <c r="F32" s="14">
        <f t="shared" si="4"/>
        <v>520833.3</v>
      </c>
      <c r="G32" s="15" t="s">
        <v>87</v>
      </c>
    </row>
    <row r="33" spans="1:7" ht="12.75">
      <c r="A33" s="10" t="s">
        <v>96</v>
      </c>
      <c r="B33" s="11">
        <f t="shared" si="5"/>
        <v>2.7</v>
      </c>
      <c r="C33" s="12" t="s">
        <v>97</v>
      </c>
      <c r="E33" s="13" t="s">
        <v>183</v>
      </c>
      <c r="F33" s="14">
        <f t="shared" si="4"/>
        <v>520833.3</v>
      </c>
      <c r="G33" s="15" t="s">
        <v>133</v>
      </c>
    </row>
    <row r="34" spans="1:7" ht="12.75">
      <c r="A34" s="13" t="s">
        <v>83</v>
      </c>
      <c r="B34" s="57">
        <f t="shared" si="5"/>
        <v>520833.3</v>
      </c>
      <c r="C34" s="15" t="s">
        <v>87</v>
      </c>
      <c r="E34" s="13" t="s">
        <v>189</v>
      </c>
      <c r="F34" s="14">
        <f t="shared" si="4"/>
        <v>520833.3</v>
      </c>
      <c r="G34" s="15" t="s">
        <v>133</v>
      </c>
    </row>
    <row r="35" spans="1:7" ht="12.75">
      <c r="A35" s="13" t="s">
        <v>176</v>
      </c>
      <c r="B35" s="57">
        <f t="shared" si="5"/>
        <v>520833.3</v>
      </c>
      <c r="C35" s="15" t="s">
        <v>179</v>
      </c>
      <c r="E35" s="18" t="s">
        <v>88</v>
      </c>
      <c r="F35" s="19">
        <f>12*F27*SUM(F29:F34)/F28^3*10^(-5)</f>
        <v>635307.0771577503</v>
      </c>
      <c r="G35" s="25" t="s">
        <v>171</v>
      </c>
    </row>
    <row r="36" spans="1:7" ht="13.5" thickBot="1">
      <c r="A36" s="13" t="s">
        <v>177</v>
      </c>
      <c r="B36" s="57">
        <f t="shared" si="5"/>
        <v>520833.3</v>
      </c>
      <c r="C36" s="15" t="s">
        <v>180</v>
      </c>
      <c r="E36" s="26"/>
      <c r="F36" s="27"/>
      <c r="G36" s="28"/>
    </row>
    <row r="37" spans="1:7" ht="13.5" thickBot="1">
      <c r="A37" s="13" t="s">
        <v>178</v>
      </c>
      <c r="B37" s="57">
        <f t="shared" si="5"/>
        <v>520833.3</v>
      </c>
      <c r="C37" s="15" t="s">
        <v>181</v>
      </c>
      <c r="E37" s="4" t="s">
        <v>201</v>
      </c>
      <c r="F37" s="5" t="s">
        <v>202</v>
      </c>
      <c r="G37" s="6" t="s">
        <v>123</v>
      </c>
    </row>
    <row r="38" spans="1:7" ht="12.75">
      <c r="A38" s="18" t="s">
        <v>88</v>
      </c>
      <c r="B38" s="19">
        <f>12*B32*SUM(B34:B37)/B33^3*10^(-5)</f>
        <v>423538.0514385002</v>
      </c>
      <c r="C38" s="25" t="s">
        <v>91</v>
      </c>
      <c r="E38" s="7" t="s">
        <v>95</v>
      </c>
      <c r="F38" s="8">
        <f aca="true" t="shared" si="6" ref="F38:F45">F27</f>
        <v>33346</v>
      </c>
      <c r="G38" s="9" t="s">
        <v>32</v>
      </c>
    </row>
    <row r="39" spans="1:7" ht="13.5" thickBot="1">
      <c r="A39" s="26"/>
      <c r="B39" s="27"/>
      <c r="C39" s="28"/>
      <c r="D39" s="28"/>
      <c r="E39" s="10" t="s">
        <v>96</v>
      </c>
      <c r="F39" s="11">
        <f t="shared" si="6"/>
        <v>2.7</v>
      </c>
      <c r="G39" s="12" t="s">
        <v>97</v>
      </c>
    </row>
    <row r="40" spans="1:8" ht="13.5" thickBot="1">
      <c r="A40" s="4" t="s">
        <v>129</v>
      </c>
      <c r="B40" s="5" t="s">
        <v>174</v>
      </c>
      <c r="C40" s="6" t="s">
        <v>123</v>
      </c>
      <c r="D40" s="24"/>
      <c r="E40" s="13" t="s">
        <v>153</v>
      </c>
      <c r="F40" s="14">
        <f t="shared" si="6"/>
        <v>520833.3</v>
      </c>
      <c r="G40" s="15" t="s">
        <v>84</v>
      </c>
      <c r="H40" s="28"/>
    </row>
    <row r="41" spans="1:8" ht="12.75">
      <c r="A41" s="7" t="s">
        <v>95</v>
      </c>
      <c r="B41" s="8">
        <f aca="true" t="shared" si="7" ref="B41:B46">B32</f>
        <v>33346</v>
      </c>
      <c r="C41" s="9" t="s">
        <v>32</v>
      </c>
      <c r="E41" s="13" t="s">
        <v>159</v>
      </c>
      <c r="F41" s="14">
        <f t="shared" si="6"/>
        <v>520833.3</v>
      </c>
      <c r="G41" s="15" t="s">
        <v>85</v>
      </c>
      <c r="H41" s="28"/>
    </row>
    <row r="42" spans="1:8" ht="12.75">
      <c r="A42" s="10" t="s">
        <v>96</v>
      </c>
      <c r="B42" s="11">
        <f t="shared" si="7"/>
        <v>2.7</v>
      </c>
      <c r="C42" s="12" t="s">
        <v>97</v>
      </c>
      <c r="E42" s="13" t="s">
        <v>164</v>
      </c>
      <c r="F42" s="14">
        <f t="shared" si="6"/>
        <v>520833.3</v>
      </c>
      <c r="G42" s="15" t="s">
        <v>86</v>
      </c>
      <c r="H42" s="28"/>
    </row>
    <row r="43" spans="1:8" ht="12.75">
      <c r="A43" s="13" t="s">
        <v>131</v>
      </c>
      <c r="B43" s="14">
        <f t="shared" si="7"/>
        <v>520833.3</v>
      </c>
      <c r="C43" s="15" t="s">
        <v>133</v>
      </c>
      <c r="E43" s="13" t="s">
        <v>178</v>
      </c>
      <c r="F43" s="14">
        <f t="shared" si="6"/>
        <v>520833.3</v>
      </c>
      <c r="G43" s="15" t="s">
        <v>87</v>
      </c>
      <c r="H43" s="28"/>
    </row>
    <row r="44" spans="1:8" ht="12.75">
      <c r="A44" s="13" t="s">
        <v>182</v>
      </c>
      <c r="B44" s="14">
        <f t="shared" si="7"/>
        <v>520833.3</v>
      </c>
      <c r="C44" s="15" t="s">
        <v>185</v>
      </c>
      <c r="E44" s="13" t="s">
        <v>184</v>
      </c>
      <c r="F44" s="14">
        <f t="shared" si="6"/>
        <v>520833.3</v>
      </c>
      <c r="G44" s="15" t="s">
        <v>133</v>
      </c>
      <c r="H44" s="28"/>
    </row>
    <row r="45" spans="1:8" ht="12.75">
      <c r="A45" s="13" t="s">
        <v>183</v>
      </c>
      <c r="B45" s="14">
        <f t="shared" si="7"/>
        <v>520833.3</v>
      </c>
      <c r="C45" s="15" t="s">
        <v>186</v>
      </c>
      <c r="E45" s="13" t="s">
        <v>190</v>
      </c>
      <c r="F45" s="14">
        <f t="shared" si="6"/>
        <v>520833.3</v>
      </c>
      <c r="G45" s="15" t="s">
        <v>133</v>
      </c>
      <c r="H45" s="28"/>
    </row>
    <row r="46" spans="1:8" ht="12.75">
      <c r="A46" s="13" t="s">
        <v>184</v>
      </c>
      <c r="B46" s="14">
        <f t="shared" si="7"/>
        <v>520833.3</v>
      </c>
      <c r="C46" s="15" t="s">
        <v>187</v>
      </c>
      <c r="E46" s="18" t="s">
        <v>88</v>
      </c>
      <c r="F46" s="19">
        <f>12*F38*SUM(F40:F45)/F39^3*10^(-5)</f>
        <v>635307.0771577503</v>
      </c>
      <c r="G46" s="25" t="s">
        <v>172</v>
      </c>
      <c r="H46" s="28"/>
    </row>
    <row r="47" spans="1:8" ht="12.75">
      <c r="A47" s="18" t="s">
        <v>88</v>
      </c>
      <c r="B47" s="19">
        <f>12*B41*SUM(B43:B46)/B42^3*10^(-5)</f>
        <v>423538.0514385002</v>
      </c>
      <c r="C47" s="25" t="s">
        <v>92</v>
      </c>
      <c r="E47" s="29"/>
      <c r="F47" s="27"/>
      <c r="G47" s="28"/>
      <c r="H47" s="28"/>
    </row>
    <row r="48" spans="1:8" ht="13.5" thickBot="1">
      <c r="A48" s="26"/>
      <c r="B48" s="27"/>
      <c r="C48" s="30"/>
      <c r="D48" s="28"/>
      <c r="E48" s="26"/>
      <c r="F48" s="26"/>
      <c r="G48" s="28"/>
      <c r="H48" s="28"/>
    </row>
    <row r="49" spans="1:3" ht="13.5" thickBot="1">
      <c r="A49" s="4" t="s">
        <v>130</v>
      </c>
      <c r="B49" s="5" t="s">
        <v>175</v>
      </c>
      <c r="C49" s="6" t="s">
        <v>123</v>
      </c>
    </row>
    <row r="50" spans="1:3" ht="12.75">
      <c r="A50" s="7" t="s">
        <v>95</v>
      </c>
      <c r="B50" s="8">
        <f aca="true" t="shared" si="8" ref="B50:B55">B41</f>
        <v>33346</v>
      </c>
      <c r="C50" s="9" t="s">
        <v>32</v>
      </c>
    </row>
    <row r="51" spans="1:3" ht="12.75">
      <c r="A51" s="10" t="s">
        <v>96</v>
      </c>
      <c r="B51" s="11">
        <f t="shared" si="8"/>
        <v>2.7</v>
      </c>
      <c r="C51" s="12" t="s">
        <v>97</v>
      </c>
    </row>
    <row r="52" spans="1:3" ht="12.75">
      <c r="A52" s="13" t="s">
        <v>132</v>
      </c>
      <c r="B52" s="57">
        <f t="shared" si="8"/>
        <v>520833.3</v>
      </c>
      <c r="C52" s="15" t="s">
        <v>191</v>
      </c>
    </row>
    <row r="53" spans="1:3" ht="12.75">
      <c r="A53" s="13" t="s">
        <v>188</v>
      </c>
      <c r="B53" s="57">
        <f t="shared" si="8"/>
        <v>520833.3</v>
      </c>
      <c r="C53" s="15" t="s">
        <v>192</v>
      </c>
    </row>
    <row r="54" spans="1:3" ht="12.75">
      <c r="A54" s="13" t="s">
        <v>189</v>
      </c>
      <c r="B54" s="57">
        <f t="shared" si="8"/>
        <v>520833.3</v>
      </c>
      <c r="C54" s="15" t="s">
        <v>193</v>
      </c>
    </row>
    <row r="55" spans="1:3" ht="12.75">
      <c r="A55" s="13" t="s">
        <v>190</v>
      </c>
      <c r="B55" s="57">
        <f t="shared" si="8"/>
        <v>520833.3</v>
      </c>
      <c r="C55" s="15" t="s">
        <v>194</v>
      </c>
    </row>
    <row r="56" spans="1:3" ht="12.75">
      <c r="A56" s="18" t="s">
        <v>88</v>
      </c>
      <c r="B56" s="19">
        <f>12*B50*SUM(B52:B55)/B51^3*10^(-5)</f>
        <v>423538.0514385002</v>
      </c>
      <c r="C56" s="25" t="s">
        <v>93</v>
      </c>
    </row>
    <row r="62" spans="9:12" ht="12.75">
      <c r="I62" s="1" t="s">
        <v>12</v>
      </c>
      <c r="J62" s="1" t="s">
        <v>12</v>
      </c>
      <c r="K62" s="1" t="s">
        <v>12</v>
      </c>
      <c r="L62" s="1" t="s">
        <v>12</v>
      </c>
    </row>
    <row r="66" ht="15" customHeight="1">
      <c r="U66" s="1" t="s">
        <v>128</v>
      </c>
    </row>
    <row r="70" ht="12.75">
      <c r="K70" s="1" t="s">
        <v>12</v>
      </c>
    </row>
    <row r="86" ht="12.75" customHeight="1"/>
  </sheetData>
  <sheetProtection/>
  <mergeCells count="1">
    <mergeCell ref="A1:G2"/>
  </mergeCells>
  <printOptions/>
  <pageMargins left="0.25" right="0.25" top="0.75" bottom="0.75" header="0.3" footer="0.3"/>
  <pageSetup fitToHeight="1" fitToWidth="1" horizontalDpi="1200" verticalDpi="12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5"/>
  <sheetViews>
    <sheetView zoomScalePageLayoutView="0" workbookViewId="0" topLeftCell="A7">
      <selection activeCell="B18" sqref="B18"/>
    </sheetView>
  </sheetViews>
  <sheetFormatPr defaultColWidth="9.00390625" defaultRowHeight="12.75"/>
  <cols>
    <col min="1" max="2" width="15.7109375" style="31" customWidth="1"/>
    <col min="3" max="3" width="59.7109375" style="31" customWidth="1"/>
    <col min="4" max="7" width="15.7109375" style="31" customWidth="1"/>
    <col min="8" max="8" width="18.7109375" style="31" customWidth="1"/>
    <col min="9" max="16384" width="9.00390625" style="31" customWidth="1"/>
  </cols>
  <sheetData>
    <row r="1" spans="1:3" ht="12">
      <c r="A1" s="73" t="s">
        <v>104</v>
      </c>
      <c r="B1" s="74"/>
      <c r="C1" s="75"/>
    </row>
    <row r="2" spans="1:3" ht="12.75" thickBot="1">
      <c r="A2" s="76"/>
      <c r="B2" s="77"/>
      <c r="C2" s="78"/>
    </row>
    <row r="3" spans="1:2" ht="12">
      <c r="A3" s="32"/>
      <c r="B3" s="37"/>
    </row>
    <row r="4" spans="1:3" ht="12">
      <c r="A4" s="43" t="s">
        <v>6</v>
      </c>
      <c r="B4" s="44">
        <f>STEP1!B11</f>
        <v>423538.0514385002</v>
      </c>
      <c r="C4" s="45" t="s">
        <v>33</v>
      </c>
    </row>
    <row r="5" spans="1:3" ht="12">
      <c r="A5" s="43" t="s">
        <v>0</v>
      </c>
      <c r="B5" s="44">
        <f>STEP1!B20</f>
        <v>423538.0514385002</v>
      </c>
      <c r="C5" s="45" t="s">
        <v>34</v>
      </c>
    </row>
    <row r="6" spans="1:3" ht="12">
      <c r="A6" s="43" t="s">
        <v>1</v>
      </c>
      <c r="B6" s="44">
        <f>STEP1!B29</f>
        <v>423538.0514385002</v>
      </c>
      <c r="C6" s="45" t="s">
        <v>35</v>
      </c>
    </row>
    <row r="7" spans="1:3" ht="12">
      <c r="A7" s="43" t="s">
        <v>2</v>
      </c>
      <c r="B7" s="44">
        <f>STEP1!B38</f>
        <v>423538.0514385002</v>
      </c>
      <c r="C7" s="45" t="s">
        <v>36</v>
      </c>
    </row>
    <row r="8" spans="1:3" ht="12">
      <c r="A8" s="43" t="s">
        <v>134</v>
      </c>
      <c r="B8" s="44">
        <f>STEP1!B47</f>
        <v>423538.0514385002</v>
      </c>
      <c r="C8" s="45" t="s">
        <v>136</v>
      </c>
    </row>
    <row r="9" spans="1:3" ht="12">
      <c r="A9" s="43" t="s">
        <v>135</v>
      </c>
      <c r="B9" s="44">
        <f>STEP1!B56</f>
        <v>423538.0514385002</v>
      </c>
      <c r="C9" s="45" t="s">
        <v>137</v>
      </c>
    </row>
    <row r="10" spans="1:3" ht="12">
      <c r="A10" s="53" t="s">
        <v>7</v>
      </c>
      <c r="B10" s="54">
        <v>4</v>
      </c>
      <c r="C10" s="55" t="s">
        <v>40</v>
      </c>
    </row>
    <row r="11" spans="1:3" ht="12">
      <c r="A11" s="53" t="s">
        <v>3</v>
      </c>
      <c r="B11" s="54">
        <v>10</v>
      </c>
      <c r="C11" s="55" t="s">
        <v>40</v>
      </c>
    </row>
    <row r="12" spans="1:3" ht="12">
      <c r="A12" s="53" t="s">
        <v>4</v>
      </c>
      <c r="B12" s="54">
        <v>14</v>
      </c>
      <c r="C12" s="55" t="s">
        <v>40</v>
      </c>
    </row>
    <row r="13" spans="1:3" ht="12">
      <c r="A13" s="53" t="s">
        <v>138</v>
      </c>
      <c r="B13" s="54">
        <v>20</v>
      </c>
      <c r="C13" s="55" t="s">
        <v>40</v>
      </c>
    </row>
    <row r="14" spans="1:3" ht="12">
      <c r="A14" s="53" t="s">
        <v>139</v>
      </c>
      <c r="B14" s="54">
        <v>24</v>
      </c>
      <c r="C14" s="55" t="s">
        <v>40</v>
      </c>
    </row>
    <row r="15" spans="1:3" ht="12">
      <c r="A15" s="43" t="s">
        <v>8</v>
      </c>
      <c r="B15" s="44">
        <f>STEP1!F13</f>
        <v>635307.0771577503</v>
      </c>
      <c r="C15" s="45" t="s">
        <v>37</v>
      </c>
    </row>
    <row r="16" spans="1:3" ht="12">
      <c r="A16" s="43" t="s">
        <v>9</v>
      </c>
      <c r="B16" s="44">
        <f>STEP1!F24</f>
        <v>635307.0771577503</v>
      </c>
      <c r="C16" s="45" t="s">
        <v>38</v>
      </c>
    </row>
    <row r="17" spans="1:3" ht="12">
      <c r="A17" s="43" t="s">
        <v>10</v>
      </c>
      <c r="B17" s="44">
        <f>STEP1!F35</f>
        <v>635307.0771577503</v>
      </c>
      <c r="C17" s="45" t="s">
        <v>39</v>
      </c>
    </row>
    <row r="18" spans="1:3" ht="12">
      <c r="A18" s="43" t="s">
        <v>141</v>
      </c>
      <c r="B18" s="44">
        <f>STEP1!F46</f>
        <v>635307.0771577503</v>
      </c>
      <c r="C18" s="45" t="s">
        <v>146</v>
      </c>
    </row>
    <row r="19" spans="1:3" ht="12">
      <c r="A19" s="40" t="s">
        <v>42</v>
      </c>
      <c r="B19" s="41">
        <v>4</v>
      </c>
      <c r="C19" s="42" t="s">
        <v>41</v>
      </c>
    </row>
    <row r="20" spans="1:3" ht="12">
      <c r="A20" s="40" t="s">
        <v>11</v>
      </c>
      <c r="B20" s="41">
        <v>8</v>
      </c>
      <c r="C20" s="42" t="s">
        <v>41</v>
      </c>
    </row>
    <row r="21" spans="1:3" ht="12">
      <c r="A21" s="40" t="s">
        <v>140</v>
      </c>
      <c r="B21" s="41">
        <v>12</v>
      </c>
      <c r="C21" s="42" t="s">
        <v>41</v>
      </c>
    </row>
    <row r="22" spans="1:2" ht="12">
      <c r="A22" s="32"/>
      <c r="B22" s="37"/>
    </row>
    <row r="67" ht="12">
      <c r="D67" s="31" t="s">
        <v>12</v>
      </c>
    </row>
    <row r="105" spans="1:2" ht="12">
      <c r="A105" s="32"/>
      <c r="B105" s="32"/>
    </row>
  </sheetData>
  <sheetProtection/>
  <mergeCells count="1">
    <mergeCell ref="A1:C2"/>
  </mergeCells>
  <printOptions/>
  <pageMargins left="0.25" right="0.25" top="0.75" bottom="0.75" header="0.3" footer="0.3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2" width="20.7109375" style="31" customWidth="1"/>
    <col min="3" max="3" width="46.28125" style="31" customWidth="1"/>
    <col min="4" max="16384" width="9.00390625" style="31" customWidth="1"/>
  </cols>
  <sheetData>
    <row r="1" spans="1:3" ht="12">
      <c r="A1" s="73" t="s">
        <v>105</v>
      </c>
      <c r="B1" s="74"/>
      <c r="C1" s="75"/>
    </row>
    <row r="2" spans="1:3" ht="12.75" thickBot="1">
      <c r="A2" s="76"/>
      <c r="B2" s="77"/>
      <c r="C2" s="78"/>
    </row>
    <row r="3" spans="1:2" ht="12">
      <c r="A3" s="32"/>
      <c r="B3" s="37"/>
    </row>
    <row r="4" spans="1:3" ht="12">
      <c r="A4" s="40" t="s">
        <v>98</v>
      </c>
      <c r="B4" s="41">
        <f>12.4*24.4</f>
        <v>302.56</v>
      </c>
      <c r="C4" s="42" t="s">
        <v>99</v>
      </c>
    </row>
    <row r="5" spans="1:3" ht="12">
      <c r="A5" s="40" t="s">
        <v>21</v>
      </c>
      <c r="B5" s="41">
        <v>12.2</v>
      </c>
      <c r="C5" s="42" t="s">
        <v>44</v>
      </c>
    </row>
    <row r="6" spans="1:3" ht="12">
      <c r="A6" s="40" t="s">
        <v>24</v>
      </c>
      <c r="B6" s="41">
        <v>6.2</v>
      </c>
      <c r="C6" s="42" t="s">
        <v>45</v>
      </c>
    </row>
    <row r="7" spans="1:3" ht="12">
      <c r="A7" s="40" t="s">
        <v>203</v>
      </c>
      <c r="B7" s="41">
        <f>3.6*3.6</f>
        <v>12.96</v>
      </c>
      <c r="C7" s="42" t="s">
        <v>99</v>
      </c>
    </row>
    <row r="8" spans="1:3" ht="12">
      <c r="A8" s="40" t="s">
        <v>204</v>
      </c>
      <c r="B8" s="41">
        <v>12.2</v>
      </c>
      <c r="C8" s="42" t="s">
        <v>44</v>
      </c>
    </row>
    <row r="9" spans="1:3" ht="12">
      <c r="A9" s="40" t="s">
        <v>205</v>
      </c>
      <c r="B9" s="41">
        <v>6.2</v>
      </c>
      <c r="C9" s="42" t="s">
        <v>45</v>
      </c>
    </row>
    <row r="10" spans="1:3" ht="12">
      <c r="A10" s="43" t="s">
        <v>17</v>
      </c>
      <c r="B10" s="44">
        <f>B4-B7</f>
        <v>289.6</v>
      </c>
      <c r="C10" s="45" t="s">
        <v>43</v>
      </c>
    </row>
    <row r="11" spans="1:3" ht="12">
      <c r="A11" s="52" t="s">
        <v>19</v>
      </c>
      <c r="B11" s="44">
        <f>(B5*B4-B8*B7)/B10</f>
        <v>12.2</v>
      </c>
      <c r="C11" s="45" t="s">
        <v>100</v>
      </c>
    </row>
    <row r="12" spans="1:3" ht="12">
      <c r="A12" s="52" t="s">
        <v>20</v>
      </c>
      <c r="B12" s="44">
        <f>(B4*B6-B9*B7)/B10</f>
        <v>6.199999999999999</v>
      </c>
      <c r="C12" s="45" t="s">
        <v>101</v>
      </c>
    </row>
    <row r="13" spans="1:2" ht="12">
      <c r="A13" s="32"/>
      <c r="B13" s="37"/>
    </row>
  </sheetData>
  <sheetProtection/>
  <mergeCells count="1">
    <mergeCell ref="A1:C2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2" width="20.7109375" style="31" customWidth="1"/>
    <col min="3" max="3" width="48.421875" style="31" customWidth="1"/>
    <col min="4" max="16384" width="9.00390625" style="31" customWidth="1"/>
  </cols>
  <sheetData>
    <row r="1" spans="1:3" ht="12">
      <c r="A1" s="73" t="s">
        <v>106</v>
      </c>
      <c r="B1" s="74"/>
      <c r="C1" s="75"/>
    </row>
    <row r="2" spans="1:3" ht="12.75" thickBot="1">
      <c r="A2" s="76"/>
      <c r="B2" s="77"/>
      <c r="C2" s="78"/>
    </row>
    <row r="3" spans="1:2" ht="12">
      <c r="A3" s="32"/>
      <c r="B3" s="37"/>
    </row>
    <row r="4" spans="1:3" ht="12">
      <c r="A4" s="33" t="s">
        <v>116</v>
      </c>
      <c r="B4" s="44">
        <f>SUM(STEP2!B4:B9)</f>
        <v>2541228.308631001</v>
      </c>
      <c r="C4" s="45" t="s">
        <v>48</v>
      </c>
    </row>
    <row r="5" spans="1:3" ht="12">
      <c r="A5" s="33" t="s">
        <v>206</v>
      </c>
      <c r="B5" s="44">
        <f>SUM(STEP2!B15:B18)</f>
        <v>2541228.308631001</v>
      </c>
      <c r="C5" s="45" t="s">
        <v>49</v>
      </c>
    </row>
    <row r="6" spans="1:3" ht="12">
      <c r="A6" s="49" t="s">
        <v>23</v>
      </c>
      <c r="B6" s="50">
        <f>(STEP2!B5*STEP2!B10+STEP2!B6*STEP2!B11+STEP2!B7*STEP2!B12+STEP2!B8*STEP2!B13+STEP2!B9*STEP2!B14)/STEP4!B4</f>
        <v>12</v>
      </c>
      <c r="C6" s="51" t="s">
        <v>46</v>
      </c>
    </row>
    <row r="7" spans="1:3" ht="12">
      <c r="A7" s="33" t="s">
        <v>22</v>
      </c>
      <c r="B7" s="44">
        <f>(STEP2!B16*STEP2!B19+STEP2!B17*STEP2!B20+STEP2!B18*STEP2!B21)/STEP4!B5</f>
        <v>6</v>
      </c>
      <c r="C7" s="45" t="s">
        <v>47</v>
      </c>
    </row>
    <row r="8" spans="1:2" ht="12">
      <c r="A8" s="32"/>
      <c r="B8" s="37"/>
    </row>
    <row r="9" spans="1:3" ht="12">
      <c r="A9" s="33" t="s">
        <v>25</v>
      </c>
      <c r="B9" s="44">
        <f>-B6</f>
        <v>-12</v>
      </c>
      <c r="C9" s="45" t="s">
        <v>50</v>
      </c>
    </row>
    <row r="10" spans="1:3" ht="12">
      <c r="A10" s="33" t="s">
        <v>26</v>
      </c>
      <c r="B10" s="44">
        <f>STEP2!B10-B6</f>
        <v>-8</v>
      </c>
      <c r="C10" s="45" t="s">
        <v>50</v>
      </c>
    </row>
    <row r="11" spans="1:3" ht="12">
      <c r="A11" s="33" t="s">
        <v>27</v>
      </c>
      <c r="B11" s="44">
        <f>STEP2!B11-B6</f>
        <v>-2</v>
      </c>
      <c r="C11" s="45" t="s">
        <v>50</v>
      </c>
    </row>
    <row r="12" spans="1:3" ht="12">
      <c r="A12" s="33" t="s">
        <v>28</v>
      </c>
      <c r="B12" s="44">
        <f>STEP2!B12-B6</f>
        <v>2</v>
      </c>
      <c r="C12" s="45" t="s">
        <v>50</v>
      </c>
    </row>
    <row r="13" spans="1:3" ht="12">
      <c r="A13" s="33" t="s">
        <v>142</v>
      </c>
      <c r="B13" s="44">
        <f>STEP2!B13-B6</f>
        <v>8</v>
      </c>
      <c r="C13" s="45" t="s">
        <v>50</v>
      </c>
    </row>
    <row r="14" spans="1:3" ht="12">
      <c r="A14" s="33" t="s">
        <v>143</v>
      </c>
      <c r="B14" s="44">
        <f>STEP2!B14-B6</f>
        <v>12</v>
      </c>
      <c r="C14" s="45" t="s">
        <v>50</v>
      </c>
    </row>
    <row r="15" spans="1:3" ht="12">
      <c r="A15" s="33" t="s">
        <v>29</v>
      </c>
      <c r="B15" s="44">
        <f>-B7</f>
        <v>-6</v>
      </c>
      <c r="C15" s="45" t="s">
        <v>50</v>
      </c>
    </row>
    <row r="16" spans="1:3" ht="12">
      <c r="A16" s="33" t="s">
        <v>30</v>
      </c>
      <c r="B16" s="44">
        <f>STEP2!B19-B7</f>
        <v>-2</v>
      </c>
      <c r="C16" s="45" t="s">
        <v>50</v>
      </c>
    </row>
    <row r="17" spans="1:3" ht="12">
      <c r="A17" s="33" t="s">
        <v>31</v>
      </c>
      <c r="B17" s="44">
        <f>STEP2!B20-B7</f>
        <v>2</v>
      </c>
      <c r="C17" s="45" t="s">
        <v>50</v>
      </c>
    </row>
    <row r="18" spans="1:3" ht="12">
      <c r="A18" s="33" t="s">
        <v>144</v>
      </c>
      <c r="B18" s="44">
        <f>STEP2!B21-B7</f>
        <v>6</v>
      </c>
      <c r="C18" s="45" t="s">
        <v>50</v>
      </c>
    </row>
    <row r="19" spans="1:3" ht="12">
      <c r="A19" s="33" t="s">
        <v>78</v>
      </c>
      <c r="B19" s="44">
        <f>STEP2!B4*STEP4!B9^2+STEP2!B5*STEP4!B10^2+STEP2!B6*STEP4!B11^2+STEP2!B7*STEP4!B12^2+STEP2!B8*STEP4!B13^2+STEP2!B9*STEP4!B14^2+STEP2!B15*STEP4!B15^2+STEP2!B16*STEP4!B16^2+STEP2!B17*STEP4!B17^2+STEP2!B18*STEP4!B18^2</f>
        <v>230404699.98254412</v>
      </c>
      <c r="C19" s="45" t="s">
        <v>51</v>
      </c>
    </row>
    <row r="20" spans="1:2" ht="12">
      <c r="A20" s="32"/>
      <c r="B20" s="37"/>
    </row>
    <row r="21" spans="1:3" ht="12">
      <c r="A21" s="38"/>
      <c r="B21" s="38"/>
      <c r="C21" s="39"/>
    </row>
  </sheetData>
  <sheetProtection/>
  <mergeCells count="1">
    <mergeCell ref="A1:C2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2" width="20.7109375" style="31" customWidth="1"/>
    <col min="3" max="3" width="53.28125" style="31" customWidth="1"/>
    <col min="4" max="16384" width="9.00390625" style="31" customWidth="1"/>
  </cols>
  <sheetData>
    <row r="1" spans="1:3" ht="12">
      <c r="A1" s="73" t="s">
        <v>107</v>
      </c>
      <c r="B1" s="74"/>
      <c r="C1" s="75"/>
    </row>
    <row r="2" spans="1:3" ht="12.75" thickBot="1">
      <c r="A2" s="76"/>
      <c r="B2" s="77"/>
      <c r="C2" s="78"/>
    </row>
    <row r="3" spans="1:3" ht="12">
      <c r="A3" s="38" t="s">
        <v>12</v>
      </c>
      <c r="B3" s="38" t="s">
        <v>12</v>
      </c>
      <c r="C3" s="39" t="s">
        <v>12</v>
      </c>
    </row>
    <row r="4" spans="1:3" ht="12">
      <c r="A4" s="40" t="s">
        <v>18</v>
      </c>
      <c r="B4" s="41">
        <v>8.44</v>
      </c>
      <c r="C4" s="42" t="s">
        <v>59</v>
      </c>
    </row>
    <row r="5" spans="1:3" ht="12">
      <c r="A5" s="40" t="s">
        <v>15</v>
      </c>
      <c r="B5" s="41">
        <v>3.12</v>
      </c>
      <c r="C5" s="42" t="s">
        <v>60</v>
      </c>
    </row>
    <row r="6" spans="1:3" ht="12">
      <c r="A6" s="40" t="s">
        <v>16</v>
      </c>
      <c r="B6" s="41">
        <v>2</v>
      </c>
      <c r="C6" s="42" t="s">
        <v>61</v>
      </c>
    </row>
    <row r="7" spans="1:3" ht="12">
      <c r="A7" s="43" t="s">
        <v>75</v>
      </c>
      <c r="B7" s="44">
        <f>(B4+B5)*STEP3!B10</f>
        <v>3347.776</v>
      </c>
      <c r="C7" s="45" t="s">
        <v>62</v>
      </c>
    </row>
    <row r="8" spans="1:3" ht="12">
      <c r="A8" s="43" t="s">
        <v>108</v>
      </c>
      <c r="B8" s="44">
        <f>B6*STEP3!B10</f>
        <v>579.2</v>
      </c>
      <c r="C8" s="45" t="s">
        <v>63</v>
      </c>
    </row>
    <row r="9" spans="1:3" ht="12">
      <c r="A9" s="40" t="s">
        <v>13</v>
      </c>
      <c r="B9" s="41">
        <v>0.8</v>
      </c>
      <c r="C9" s="42" t="s">
        <v>64</v>
      </c>
    </row>
    <row r="10" spans="1:3" ht="12">
      <c r="A10" s="43" t="s">
        <v>109</v>
      </c>
      <c r="B10" s="44">
        <f>B7+B8*B9</f>
        <v>3811.136</v>
      </c>
      <c r="C10" s="45" t="s">
        <v>65</v>
      </c>
    </row>
    <row r="11" spans="1:3" ht="12">
      <c r="A11" s="40" t="s">
        <v>14</v>
      </c>
      <c r="B11" s="41">
        <v>0.1</v>
      </c>
      <c r="C11" s="42" t="s">
        <v>66</v>
      </c>
    </row>
    <row r="12" spans="1:3" ht="12.75" thickBot="1">
      <c r="A12" s="46" t="s">
        <v>110</v>
      </c>
      <c r="B12" s="47">
        <f>B10*B11</f>
        <v>381.1136</v>
      </c>
      <c r="C12" s="45" t="s">
        <v>111</v>
      </c>
    </row>
    <row r="13" spans="1:2" ht="12">
      <c r="A13" s="48" t="s">
        <v>12</v>
      </c>
      <c r="B13" s="48"/>
    </row>
  </sheetData>
  <sheetProtection/>
  <mergeCells count="1">
    <mergeCell ref="A1:C2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37">
      <selection activeCell="G11" sqref="G11"/>
    </sheetView>
  </sheetViews>
  <sheetFormatPr defaultColWidth="9.00390625" defaultRowHeight="12.75"/>
  <cols>
    <col min="1" max="2" width="20.7109375" style="31" customWidth="1"/>
    <col min="3" max="3" width="46.28125" style="31" customWidth="1"/>
    <col min="4" max="16384" width="9.00390625" style="31" customWidth="1"/>
  </cols>
  <sheetData>
    <row r="1" spans="1:3" ht="12">
      <c r="A1" s="73" t="s">
        <v>112</v>
      </c>
      <c r="B1" s="74"/>
      <c r="C1" s="75"/>
    </row>
    <row r="2" spans="1:3" ht="12.75" thickBot="1">
      <c r="A2" s="76"/>
      <c r="B2" s="77"/>
      <c r="C2" s="78"/>
    </row>
    <row r="3" spans="1:2" ht="12">
      <c r="A3" s="32"/>
      <c r="B3" s="32"/>
    </row>
    <row r="4" spans="1:3" ht="12">
      <c r="A4" s="33" t="s">
        <v>114</v>
      </c>
      <c r="B4" s="34">
        <f>STEP5!B12*(STEP4!B7-STEP3!B12)</f>
        <v>-76.22271999999974</v>
      </c>
      <c r="C4" s="35" t="s">
        <v>120</v>
      </c>
    </row>
    <row r="5" spans="1:3" ht="12">
      <c r="A5" s="33" t="s">
        <v>117</v>
      </c>
      <c r="B5" s="58">
        <f>STEP5!B12/STEP4!B4</f>
        <v>0.00014997219994189023</v>
      </c>
      <c r="C5" s="35" t="s">
        <v>76</v>
      </c>
    </row>
    <row r="6" spans="1:3" ht="12">
      <c r="A6" s="33" t="s">
        <v>52</v>
      </c>
      <c r="B6" s="36">
        <f>B4/STEP4!B19</f>
        <v>-3.308210292835802E-07</v>
      </c>
      <c r="C6" s="35" t="s">
        <v>121</v>
      </c>
    </row>
    <row r="7" spans="1:3" ht="12">
      <c r="A7" s="33" t="s">
        <v>118</v>
      </c>
      <c r="B7" s="34">
        <f>STEP2!B4*STEP4!B9*B6</f>
        <v>1.6813835294117587</v>
      </c>
      <c r="C7" s="35" t="s">
        <v>68</v>
      </c>
    </row>
    <row r="8" spans="1:3" ht="12">
      <c r="A8" s="33" t="s">
        <v>53</v>
      </c>
      <c r="B8" s="34">
        <f>STEP2!B5*STEP4!B10*B6</f>
        <v>1.1209223529411725</v>
      </c>
      <c r="C8" s="35" t="s">
        <v>69</v>
      </c>
    </row>
    <row r="9" spans="1:3" ht="12">
      <c r="A9" s="33" t="s">
        <v>54</v>
      </c>
      <c r="B9" s="34">
        <f>STEP2!B6*STEP4!B11*B6</f>
        <v>0.2802305882352931</v>
      </c>
      <c r="C9" s="35" t="s">
        <v>70</v>
      </c>
    </row>
    <row r="10" spans="1:3" ht="12">
      <c r="A10" s="33" t="s">
        <v>55</v>
      </c>
      <c r="B10" s="34">
        <f>STEP2!B7*STEP4!B12*B6</f>
        <v>-0.2802305882352931</v>
      </c>
      <c r="C10" s="35" t="s">
        <v>71</v>
      </c>
    </row>
    <row r="11" spans="1:3" ht="12">
      <c r="A11" s="33" t="s">
        <v>207</v>
      </c>
      <c r="B11" s="34">
        <f>STEP2!B8*STEP4!B13*B6</f>
        <v>-1.1209223529411725</v>
      </c>
      <c r="C11" s="35" t="s">
        <v>209</v>
      </c>
    </row>
    <row r="12" spans="1:3" ht="12">
      <c r="A12" s="33" t="s">
        <v>208</v>
      </c>
      <c r="B12" s="34">
        <f>STEP2!B9*STEP4!B14*B6</f>
        <v>-1.6813835294117587</v>
      </c>
      <c r="C12" s="35" t="s">
        <v>210</v>
      </c>
    </row>
    <row r="13" spans="1:3" ht="12">
      <c r="A13" s="33" t="s">
        <v>56</v>
      </c>
      <c r="B13" s="34">
        <f>STEP2!B15*(B5+STEP4!B15*B6)</f>
        <v>96.53943764705883</v>
      </c>
      <c r="C13" s="35" t="s">
        <v>72</v>
      </c>
    </row>
    <row r="14" spans="1:3" ht="12">
      <c r="A14" s="33" t="s">
        <v>57</v>
      </c>
      <c r="B14" s="34">
        <f>STEP2!B16*(B5+STEP4!B16*B6)</f>
        <v>95.69874588235295</v>
      </c>
      <c r="C14" s="35" t="s">
        <v>73</v>
      </c>
    </row>
    <row r="15" spans="1:3" ht="12">
      <c r="A15" s="33" t="s">
        <v>58</v>
      </c>
      <c r="B15" s="34">
        <f>STEP2!B17*(B5+STEP4!B17*B6)</f>
        <v>94.85805411764706</v>
      </c>
      <c r="C15" s="35" t="s">
        <v>74</v>
      </c>
    </row>
    <row r="16" spans="1:3" ht="12">
      <c r="A16" s="33" t="s">
        <v>211</v>
      </c>
      <c r="B16" s="34">
        <f>STEP2!B18*(B5+STEP4!B18*B6)</f>
        <v>94.01736235294118</v>
      </c>
      <c r="C16" s="35" t="s">
        <v>212</v>
      </c>
    </row>
    <row r="17" spans="1:2" ht="12">
      <c r="A17" s="32"/>
      <c r="B17" s="37">
        <f>SUM(B7:B15)</f>
        <v>287.09623764705884</v>
      </c>
    </row>
    <row r="18" spans="1:3" ht="12.75">
      <c r="A18" s="32"/>
      <c r="B18" s="37"/>
      <c r="C18" s="66">
        <f>STEP2!B15*$B$5</f>
        <v>95.2784</v>
      </c>
    </row>
    <row r="19" spans="1:3" ht="12.75">
      <c r="A19" s="32"/>
      <c r="B19" s="37"/>
      <c r="C19" s="66">
        <f>STEP2!B16*$B$5</f>
        <v>95.2784</v>
      </c>
    </row>
    <row r="20" spans="1:3" ht="12.75">
      <c r="A20" s="32"/>
      <c r="B20" s="37"/>
      <c r="C20" s="66">
        <f>STEP2!B17*$B$5</f>
        <v>95.2784</v>
      </c>
    </row>
    <row r="21" spans="1:3" ht="12.75">
      <c r="A21" s="32"/>
      <c r="B21" s="37"/>
      <c r="C21" s="66">
        <f>STEP2!B18*$B$5</f>
        <v>95.2784</v>
      </c>
    </row>
    <row r="22" spans="1:2" ht="12">
      <c r="A22" s="32"/>
      <c r="B22" s="37"/>
    </row>
    <row r="23" spans="1:2" ht="12">
      <c r="A23" s="32"/>
      <c r="B23" s="37"/>
    </row>
    <row r="24" spans="1:2" ht="12">
      <c r="A24" s="32"/>
      <c r="B24" s="37"/>
    </row>
    <row r="25" spans="1:3" ht="12.75" thickBot="1">
      <c r="A25" s="32"/>
      <c r="B25" s="32"/>
      <c r="C25" s="60"/>
    </row>
    <row r="26" spans="1:3" ht="11.25" customHeight="1">
      <c r="A26" s="73" t="s">
        <v>113</v>
      </c>
      <c r="B26" s="74"/>
      <c r="C26" s="75"/>
    </row>
    <row r="27" spans="1:3" ht="11.25" customHeight="1" thickBot="1">
      <c r="A27" s="76"/>
      <c r="B27" s="77"/>
      <c r="C27" s="78"/>
    </row>
    <row r="28" spans="1:2" ht="12">
      <c r="A28" s="32"/>
      <c r="B28" s="32"/>
    </row>
    <row r="29" spans="1:3" ht="12">
      <c r="A29" s="33" t="s">
        <v>115</v>
      </c>
      <c r="B29" s="34">
        <f>STEP5!B12*(STEP4!B6-STEP3!B11)</f>
        <v>-76.22271999999974</v>
      </c>
      <c r="C29" s="35" t="s">
        <v>122</v>
      </c>
    </row>
    <row r="30" spans="1:3" ht="12">
      <c r="A30" s="33" t="s">
        <v>119</v>
      </c>
      <c r="B30" s="58">
        <f>STEP5!B12/STEP4!B5</f>
        <v>0.00014997219994189023</v>
      </c>
      <c r="C30" s="35" t="s">
        <v>77</v>
      </c>
    </row>
    <row r="31" spans="1:3" ht="12">
      <c r="A31" s="33" t="s">
        <v>52</v>
      </c>
      <c r="B31" s="36">
        <f>B29/STEP4!B19</f>
        <v>-3.308210292835802E-07</v>
      </c>
      <c r="C31" s="35" t="s">
        <v>67</v>
      </c>
    </row>
    <row r="32" spans="1:3" ht="12">
      <c r="A32" s="33" t="s">
        <v>118</v>
      </c>
      <c r="B32" s="34">
        <f>STEP2!B4*(B30+STEP4!B9*B31)</f>
        <v>65.2003168627451</v>
      </c>
      <c r="C32" s="35" t="s">
        <v>68</v>
      </c>
    </row>
    <row r="33" spans="1:3" ht="12">
      <c r="A33" s="33" t="s">
        <v>53</v>
      </c>
      <c r="B33" s="34">
        <f>STEP2!B5*(B30+STEP4!B10*B31)</f>
        <v>64.6398556862745</v>
      </c>
      <c r="C33" s="35" t="s">
        <v>69</v>
      </c>
    </row>
    <row r="34" spans="1:3" ht="12">
      <c r="A34" s="33" t="s">
        <v>54</v>
      </c>
      <c r="B34" s="34">
        <f>STEP2!B6*(B30+STEP4!B11*B31)</f>
        <v>63.799163921568635</v>
      </c>
      <c r="C34" s="35" t="s">
        <v>70</v>
      </c>
    </row>
    <row r="35" spans="1:3" ht="12">
      <c r="A35" s="33" t="s">
        <v>55</v>
      </c>
      <c r="B35" s="34">
        <f>STEP2!B7*(B30+STEP4!B12*B31)</f>
        <v>63.23870274509804</v>
      </c>
      <c r="C35" s="35" t="s">
        <v>71</v>
      </c>
    </row>
    <row r="36" spans="1:3" ht="12">
      <c r="A36" s="33" t="s">
        <v>207</v>
      </c>
      <c r="B36" s="34">
        <f>STEP2!B8*(B30+STEP4!B13*B31)</f>
        <v>62.398010980392165</v>
      </c>
      <c r="C36" s="35" t="s">
        <v>209</v>
      </c>
    </row>
    <row r="37" spans="1:3" ht="12">
      <c r="A37" s="33" t="s">
        <v>208</v>
      </c>
      <c r="B37" s="34">
        <f>STEP2!B9*(B30+STEP4!B14*B31)</f>
        <v>61.837549803921576</v>
      </c>
      <c r="C37" s="35" t="s">
        <v>210</v>
      </c>
    </row>
    <row r="38" spans="1:3" ht="12">
      <c r="A38" s="33" t="s">
        <v>56</v>
      </c>
      <c r="B38" s="34">
        <f>STEP2!B15*STEP4!B15*B31</f>
        <v>1.261037647058819</v>
      </c>
      <c r="C38" s="35" t="s">
        <v>72</v>
      </c>
    </row>
    <row r="39" spans="1:3" ht="12">
      <c r="A39" s="33" t="s">
        <v>57</v>
      </c>
      <c r="B39" s="34">
        <f>STEP2!B16*STEP4!B16*B31</f>
        <v>0.4203458823529397</v>
      </c>
      <c r="C39" s="35" t="s">
        <v>73</v>
      </c>
    </row>
    <row r="40" spans="1:3" ht="12">
      <c r="A40" s="33" t="s">
        <v>58</v>
      </c>
      <c r="B40" s="34">
        <f>STEP2!B17*STEP4!B17*B31</f>
        <v>-0.4203458823529397</v>
      </c>
      <c r="C40" s="59" t="s">
        <v>74</v>
      </c>
    </row>
    <row r="41" spans="1:3" ht="12">
      <c r="A41" s="33" t="s">
        <v>211</v>
      </c>
      <c r="B41" s="34">
        <f>STEP2!B18*STEP4!B18*B31</f>
        <v>-1.261037647058819</v>
      </c>
      <c r="C41" s="35" t="s">
        <v>212</v>
      </c>
    </row>
    <row r="42" spans="1:3" ht="12">
      <c r="A42" s="32"/>
      <c r="B42" s="37">
        <f>SUM(B32:B40)</f>
        <v>382.3746376470588</v>
      </c>
      <c r="C42" s="30"/>
    </row>
    <row r="43" spans="1:3" ht="12.75">
      <c r="A43" s="32"/>
      <c r="B43" s="32"/>
      <c r="C43" s="66">
        <f>STEP2!B4*$B$30</f>
        <v>63.51893333333334</v>
      </c>
    </row>
    <row r="44" spans="1:3" ht="12.75">
      <c r="A44" s="32"/>
      <c r="B44" s="32"/>
      <c r="C44" s="66">
        <f>STEP2!B5*$B$30</f>
        <v>63.51893333333334</v>
      </c>
    </row>
    <row r="45" spans="1:3" ht="12.75">
      <c r="A45" s="32"/>
      <c r="B45" s="32"/>
      <c r="C45" s="66">
        <f>STEP2!B6*$B$30</f>
        <v>63.51893333333334</v>
      </c>
    </row>
    <row r="46" spans="1:3" ht="12.75">
      <c r="A46" s="32"/>
      <c r="B46" s="32"/>
      <c r="C46" s="66">
        <f>STEP2!B7*$B$30</f>
        <v>63.51893333333334</v>
      </c>
    </row>
    <row r="47" spans="1:3" ht="12.75">
      <c r="A47" s="32"/>
      <c r="B47" s="32"/>
      <c r="C47" s="66">
        <f>STEP2!B8*$B$30</f>
        <v>63.51893333333334</v>
      </c>
    </row>
    <row r="48" ht="12.75">
      <c r="C48" s="66">
        <f>STEP2!B9*$B$30</f>
        <v>63.51893333333334</v>
      </c>
    </row>
  </sheetData>
  <sheetProtection/>
  <mergeCells count="2">
    <mergeCell ref="A1:C2"/>
    <mergeCell ref="A26:C27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5" width="15.7109375" style="62" customWidth="1"/>
    <col min="6" max="16384" width="9.00390625" style="62" customWidth="1"/>
  </cols>
  <sheetData>
    <row r="1" spans="1:5" ht="12.75">
      <c r="A1" s="73" t="s">
        <v>213</v>
      </c>
      <c r="B1" s="74"/>
      <c r="C1" s="74"/>
      <c r="D1" s="74"/>
      <c r="E1" s="75"/>
    </row>
    <row r="2" spans="1:5" ht="13.5" thickBot="1">
      <c r="A2" s="76"/>
      <c r="B2" s="77"/>
      <c r="C2" s="77"/>
      <c r="D2" s="77"/>
      <c r="E2" s="78"/>
    </row>
    <row r="3" spans="1:5" ht="12.75">
      <c r="A3" s="61"/>
      <c r="B3" s="61"/>
      <c r="C3" s="61" t="s">
        <v>145</v>
      </c>
      <c r="D3" s="61"/>
      <c r="E3" s="61" t="s">
        <v>13</v>
      </c>
    </row>
    <row r="4" spans="1:5" ht="12.75">
      <c r="A4" s="63">
        <v>3</v>
      </c>
      <c r="B4" s="64">
        <f>'STEP6-7'!B17</f>
        <v>287.09623764705884</v>
      </c>
      <c r="C4" s="65">
        <f>(A4/A10)*B4</f>
        <v>19.139749176470588</v>
      </c>
      <c r="D4" s="64">
        <f>'STEP6-7'!B42</f>
        <v>382.3746376470588</v>
      </c>
      <c r="E4" s="65">
        <f>(A4/A10)*D4</f>
        <v>25.49164250980392</v>
      </c>
    </row>
    <row r="5" spans="1:5" ht="12.75">
      <c r="A5" s="63">
        <f>$A$4*2</f>
        <v>6</v>
      </c>
      <c r="B5" s="64">
        <f>'STEP6-7'!B17</f>
        <v>287.09623764705884</v>
      </c>
      <c r="C5" s="65">
        <f>(A5/A10)*B5</f>
        <v>38.279498352941175</v>
      </c>
      <c r="D5" s="64">
        <f>'STEP6-7'!B42</f>
        <v>382.3746376470588</v>
      </c>
      <c r="E5" s="65">
        <f>(A5/A10)*D5</f>
        <v>50.98328501960784</v>
      </c>
    </row>
    <row r="6" spans="1:5" ht="12.75">
      <c r="A6" s="63">
        <f>$A$4*3</f>
        <v>9</v>
      </c>
      <c r="B6" s="64">
        <f>'STEP6-7'!B17</f>
        <v>287.09623764705884</v>
      </c>
      <c r="C6" s="65">
        <f>(A6/A10)*B6</f>
        <v>57.41924752941177</v>
      </c>
      <c r="D6" s="64">
        <f>'STEP6-7'!B42</f>
        <v>382.3746376470588</v>
      </c>
      <c r="E6" s="65">
        <f>(A6/A10)*D6</f>
        <v>76.47492752941177</v>
      </c>
    </row>
    <row r="7" spans="1:5" ht="12.75">
      <c r="A7" s="63">
        <f>$A$4*4</f>
        <v>12</v>
      </c>
      <c r="B7" s="64">
        <f>'STEP6-7'!B17</f>
        <v>287.09623764705884</v>
      </c>
      <c r="C7" s="65">
        <f>(A7/A10)*B7</f>
        <v>76.55899670588235</v>
      </c>
      <c r="D7" s="64">
        <f>'STEP6-7'!B42</f>
        <v>382.3746376470588</v>
      </c>
      <c r="E7" s="65">
        <f>(A7/A10)*D7</f>
        <v>101.96657003921568</v>
      </c>
    </row>
    <row r="8" spans="1:5" ht="12.75">
      <c r="A8" s="63">
        <f>$A$4*5</f>
        <v>15</v>
      </c>
      <c r="B8" s="64">
        <f>'STEP6-7'!B17</f>
        <v>287.09623764705884</v>
      </c>
      <c r="C8" s="65">
        <f>(A8/A10)*B8</f>
        <v>95.69874588235294</v>
      </c>
      <c r="D8" s="64">
        <f>'STEP6-7'!B42</f>
        <v>382.3746376470588</v>
      </c>
      <c r="E8" s="65">
        <f>(A8/A10)*D8</f>
        <v>127.4582125490196</v>
      </c>
    </row>
    <row r="9" spans="1:5" ht="12.75">
      <c r="A9" s="63"/>
      <c r="B9" s="63"/>
      <c r="C9" s="63"/>
      <c r="D9" s="63"/>
      <c r="E9" s="63"/>
    </row>
    <row r="10" spans="1:5" ht="12.75">
      <c r="A10" s="63">
        <f>SUM(A4:A8)</f>
        <v>45</v>
      </c>
      <c r="B10" s="63"/>
      <c r="C10" s="63"/>
      <c r="D10" s="63"/>
      <c r="E10" s="63"/>
    </row>
  </sheetData>
  <sheetProtection/>
  <mergeCells count="1">
    <mergeCell ref="A1:E2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Roma 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Amministratore</cp:lastModifiedBy>
  <cp:lastPrinted>2020-12-08T21:42:29Z</cp:lastPrinted>
  <dcterms:created xsi:type="dcterms:W3CDTF">2010-06-04T08:34:42Z</dcterms:created>
  <dcterms:modified xsi:type="dcterms:W3CDTF">2020-12-08T21:45:18Z</dcterms:modified>
  <cp:category/>
  <cp:version/>
  <cp:contentType/>
  <cp:contentStatus/>
</cp:coreProperties>
</file>