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<sst xmlns="http://schemas.openxmlformats.org/spreadsheetml/2006/main" count="310" uniqueCount="177">
  <si>
    <t>Kv2</t>
  </si>
  <si>
    <t>Kv3</t>
  </si>
  <si>
    <t>Kv4</t>
  </si>
  <si>
    <t>dv3</t>
  </si>
  <si>
    <t>dv4</t>
  </si>
  <si>
    <t>H (m)</t>
  </si>
  <si>
    <t>Kv1(KN/m)</t>
  </si>
  <si>
    <t>dv2 (m)</t>
  </si>
  <si>
    <t>Ko1(KN/m)</t>
  </si>
  <si>
    <t>Ko2</t>
  </si>
  <si>
    <t>Ko3</t>
  </si>
  <si>
    <t>do3</t>
  </si>
  <si>
    <t xml:space="preserve"> </t>
  </si>
  <si>
    <t>y</t>
  </si>
  <si>
    <t>c</t>
  </si>
  <si>
    <t>q_p</t>
  </si>
  <si>
    <t>q_a</t>
  </si>
  <si>
    <t>q_s (KN/mq)</t>
  </si>
  <si>
    <t>X_G</t>
  </si>
  <si>
    <t>Y_G</t>
  </si>
  <si>
    <t>Y_C</t>
  </si>
  <si>
    <t>X_C (m)</t>
  </si>
  <si>
    <t>dd_v1</t>
  </si>
  <si>
    <t>dd_v2</t>
  </si>
  <si>
    <t>dd_v3</t>
  </si>
  <si>
    <t>dd_v4</t>
  </si>
  <si>
    <t>dd_o1</t>
  </si>
  <si>
    <t>dd_o2</t>
  </si>
  <si>
    <t>dd_o3</t>
  </si>
  <si>
    <t>modulo di Young</t>
  </si>
  <si>
    <t>rigidezza traslante contr.vert.1</t>
  </si>
  <si>
    <t>rigidezza traslante contr.vert.2</t>
  </si>
  <si>
    <t>rigidezza traslante contr.vert.3</t>
  </si>
  <si>
    <t>rigidezza traslante contr.vert.4</t>
  </si>
  <si>
    <t>rigidezza traslante contr.orizz.1</t>
  </si>
  <si>
    <t>rigidezza traslante contr.orizz.2</t>
  </si>
  <si>
    <t>rigidezza traslante contr.orizz.3</t>
  </si>
  <si>
    <t>distanza orizzontale controvento dal punto O</t>
  </si>
  <si>
    <t>distanza verticale controvento punto O</t>
  </si>
  <si>
    <t>do2</t>
  </si>
  <si>
    <t>coordinata X centro rigidezze</t>
  </si>
  <si>
    <t>coordinata Y centro rigidezze</t>
  </si>
  <si>
    <t>rigidezza totale orizzontale</t>
  </si>
  <si>
    <t>rigidezza totale verticale</t>
  </si>
  <si>
    <t>distanze controvento dal centro rigidezze</t>
  </si>
  <si>
    <t>rigidezza torsionale totale</t>
  </si>
  <si>
    <t>ϕ</t>
  </si>
  <si>
    <t>Fv2</t>
  </si>
  <si>
    <t>Fv3</t>
  </si>
  <si>
    <t>Fv4</t>
  </si>
  <si>
    <t>Fo1</t>
  </si>
  <si>
    <t>Fo2</t>
  </si>
  <si>
    <t>Fo3</t>
  </si>
  <si>
    <t>carico permanente di natura strutturale</t>
  </si>
  <si>
    <t>sovraccarico permanente</t>
  </si>
  <si>
    <t>sovraccarico accidentale</t>
  </si>
  <si>
    <t>carico totale permamente</t>
  </si>
  <si>
    <t>carico totale accidentale</t>
  </si>
  <si>
    <t>coefficiente di contemporaneità</t>
  </si>
  <si>
    <t>Pesi sismici</t>
  </si>
  <si>
    <t>coefficiente di intensità sismica</t>
  </si>
  <si>
    <t>rotazione impalcato</t>
  </si>
  <si>
    <t>Forza sul controvento verticale 1</t>
  </si>
  <si>
    <t>Forza sul controvento verticale 2</t>
  </si>
  <si>
    <t>Forza sul controvento verticale 3</t>
  </si>
  <si>
    <t>Forza sul controvento verticale 4</t>
  </si>
  <si>
    <t>Forza sul controvento orizzontale 1</t>
  </si>
  <si>
    <t>Forza sul controvento orizzontale 2</t>
  </si>
  <si>
    <t>Forza sul controvento orizzontale 3</t>
  </si>
  <si>
    <t>G (KN)</t>
  </si>
  <si>
    <t>traslazione orizzontale</t>
  </si>
  <si>
    <t>traslazione verticale</t>
  </si>
  <si>
    <t>K_ϕ (KN*m)</t>
  </si>
  <si>
    <t>I_1</t>
  </si>
  <si>
    <t>I_2</t>
  </si>
  <si>
    <t>I_3</t>
  </si>
  <si>
    <t>I_4</t>
  </si>
  <si>
    <t>momento d'inerzia pilastro 1</t>
  </si>
  <si>
    <t>momento d'inerzia pilastro 2</t>
  </si>
  <si>
    <t>momento d'inerzia pilastro 3</t>
  </si>
  <si>
    <t>momento d'inerzia pilastro 4</t>
  </si>
  <si>
    <t>K_T</t>
  </si>
  <si>
    <t>rigidezza traslante telaio 1</t>
  </si>
  <si>
    <t>rigidezza traslante telaio 2</t>
  </si>
  <si>
    <t>rigidezza traslante telaio 3</t>
  </si>
  <si>
    <t>rigidezza traslante telaio 4</t>
  </si>
  <si>
    <t>rigidezza traslante telaio 5</t>
  </si>
  <si>
    <t>rigidezza traslante telaio 7</t>
  </si>
  <si>
    <t>rigidezza traslante telaio 6</t>
  </si>
  <si>
    <t>I_1 (cm^4)</t>
  </si>
  <si>
    <t xml:space="preserve"> E</t>
  </si>
  <si>
    <t>H</t>
  </si>
  <si>
    <t>altezza dei pilastri</t>
  </si>
  <si>
    <t>coordinata X centro d'area impalcato (centro massa)</t>
  </si>
  <si>
    <t>coordinata Y centro d'area impalcato (centro massa)</t>
  </si>
  <si>
    <t>K_T (KN/m)</t>
  </si>
  <si>
    <t>Step 1: calcolo delle rigidezze traslanti dei controventi dell'edificio</t>
  </si>
  <si>
    <t>Step 2: tabella sinottica controventi e distanze</t>
  </si>
  <si>
    <t>Step 3: calcolo del centro di massa</t>
  </si>
  <si>
    <t>Step 4: calcolo del centro di rigidezze e delle rigidezze globali</t>
  </si>
  <si>
    <t>Step 5: analisi dei carichi sismici</t>
  </si>
  <si>
    <t>Q (KN)</t>
  </si>
  <si>
    <t>W (KN)</t>
  </si>
  <si>
    <t>F (KN)</t>
  </si>
  <si>
    <t>Forza sismica orizzontale</t>
  </si>
  <si>
    <t>Step 6: ripartizione forza sismica lungo X</t>
  </si>
  <si>
    <t>Step 7: ripartizione forza sismica lungo Y</t>
  </si>
  <si>
    <t>M (KN*m)</t>
  </si>
  <si>
    <t>M (KN*M)</t>
  </si>
  <si>
    <t>Ko_tot</t>
  </si>
  <si>
    <t>Kv_tot</t>
  </si>
  <si>
    <t>u_o (m)</t>
  </si>
  <si>
    <t>Fv1 (KN)</t>
  </si>
  <si>
    <t>v_o (KN)</t>
  </si>
  <si>
    <t>momento torcente (positivo se antiorario)</t>
  </si>
  <si>
    <t>rotazione impalcato (positiva se antioraria)</t>
  </si>
  <si>
    <t>momento torcente</t>
  </si>
  <si>
    <t>pilastri che individuano il telaio</t>
  </si>
  <si>
    <t>2-6</t>
  </si>
  <si>
    <t>Telaio 1v</t>
  </si>
  <si>
    <t>Telaio 2v</t>
  </si>
  <si>
    <t>Telaio 2o</t>
  </si>
  <si>
    <t xml:space="preserve">                                                                                                                 </t>
  </si>
  <si>
    <t>b</t>
  </si>
  <si>
    <t>h</t>
  </si>
  <si>
    <t>travi</t>
  </si>
  <si>
    <t>Ko1</t>
  </si>
  <si>
    <t>Kv1</t>
  </si>
  <si>
    <t>Setti</t>
  </si>
  <si>
    <t>s</t>
  </si>
  <si>
    <t>Setto 1v</t>
  </si>
  <si>
    <t>altezza del setto</t>
  </si>
  <si>
    <t>Iy</t>
  </si>
  <si>
    <t>hb^3/12</t>
  </si>
  <si>
    <t>Ix</t>
  </si>
  <si>
    <t>bh^3/12</t>
  </si>
  <si>
    <t>Pilastri</t>
  </si>
  <si>
    <t>L</t>
  </si>
  <si>
    <t>Setto 2v</t>
  </si>
  <si>
    <t>momento d'inerzia setto 1</t>
  </si>
  <si>
    <t>Setto 1o</t>
  </si>
  <si>
    <t>pilastri e setti che individuano il telaio</t>
  </si>
  <si>
    <t>momento d'inerzia setto 2</t>
  </si>
  <si>
    <t>momento d'inerzia setto 3</t>
  </si>
  <si>
    <t>1-3</t>
  </si>
  <si>
    <t>2-4</t>
  </si>
  <si>
    <t>30*500^3</t>
  </si>
  <si>
    <t>500*30^3</t>
  </si>
  <si>
    <t>3-7-9</t>
  </si>
  <si>
    <t>M setti</t>
  </si>
  <si>
    <t>V setti</t>
  </si>
  <si>
    <t>m3</t>
  </si>
  <si>
    <t>kg/m3</t>
  </si>
  <si>
    <t>kN/cm3</t>
  </si>
  <si>
    <t>V pilastri</t>
  </si>
  <si>
    <t>M pilastri</t>
  </si>
  <si>
    <t>x_2(m)</t>
  </si>
  <si>
    <t>coordinata X rispetto al centro O</t>
  </si>
  <si>
    <t>x_3</t>
  </si>
  <si>
    <t>x_4</t>
  </si>
  <si>
    <t>y_1</t>
  </si>
  <si>
    <t>coordinata Y rispetto al centro O</t>
  </si>
  <si>
    <t>y_2</t>
  </si>
  <si>
    <t>y_3</t>
  </si>
  <si>
    <t>Massa totale setti e pilastri</t>
  </si>
  <si>
    <t>1s</t>
  </si>
  <si>
    <t>2s-10</t>
  </si>
  <si>
    <t>1s-2-3-2s</t>
  </si>
  <si>
    <t>1s-6-7-2s</t>
  </si>
  <si>
    <t>9-10</t>
  </si>
  <si>
    <t>Telaio 3o</t>
  </si>
  <si>
    <t>kg</t>
  </si>
  <si>
    <t>kN</t>
  </si>
  <si>
    <t>Massa tot (KN)</t>
  </si>
  <si>
    <t>massa di un singolo setto (kN)</t>
  </si>
  <si>
    <t>massa di un singolo pilastro (kN)</t>
  </si>
  <si>
    <t xml:space="preserve"> E (N/mm2)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</si>
</sst>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</numFmts>
  <fonts count="42">
    <font>
      <sz val="10"/>
      <name val="Arial"/>
      <family val="0"/>
    </font>
    <font>
      <sz val="8"/>
      <name val="Arial"/>
      <family val="0"/>
    </font>
    <font>
      <sz val="10"/>
      <name val="GreekC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11" xfId="0" applyFon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1" xfId="0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2" borderId="14" xfId="0" applyFon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0" fillId="2" borderId="24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33" borderId="13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175" fontId="0" fillId="2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horizontal="right" vertical="center"/>
    </xf>
    <xf numFmtId="2" fontId="0" fillId="34" borderId="11" xfId="0" applyNumberFormat="1" applyFill="1" applyBorder="1" applyAlignment="1">
      <alignment horizontal="center" vertical="center"/>
    </xf>
    <xf numFmtId="2" fontId="0" fillId="34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2" fontId="0" fillId="0" borderId="12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2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81" fontId="0" fillId="2" borderId="13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3" fontId="0" fillId="2" borderId="13" xfId="0" applyNumberFormat="1" applyFill="1" applyBorder="1" applyAlignment="1">
      <alignment horizontal="center" vertical="center"/>
    </xf>
    <xf numFmtId="172" fontId="0" fillId="2" borderId="13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="70" zoomScaleNormal="70" zoomScalePageLayoutView="0" workbookViewId="0" topLeftCell="A52">
      <selection activeCell="B78" sqref="B78"/>
    </sheetView>
  </sheetViews>
  <sheetFormatPr defaultColWidth="9.140625" defaultRowHeight="12.75"/>
  <cols>
    <col min="1" max="1" width="15.8515625" style="1" customWidth="1"/>
    <col min="2" max="2" width="15.421875" style="5" customWidth="1"/>
    <col min="3" max="3" width="45.28125" style="0" bestFit="1" customWidth="1"/>
    <col min="4" max="4" width="10.7109375" style="0" customWidth="1"/>
    <col min="5" max="5" width="11.7109375" style="2" customWidth="1"/>
    <col min="6" max="6" width="18.28125" style="1" customWidth="1"/>
    <col min="7" max="7" width="45.28125" style="0" customWidth="1"/>
    <col min="8" max="8" width="9.7109375" style="0" customWidth="1"/>
    <col min="9" max="9" width="10.00390625" style="6" customWidth="1"/>
    <col min="10" max="10" width="13.28125" style="7" customWidth="1"/>
    <col min="11" max="11" width="18.28125" style="6" customWidth="1"/>
    <col min="12" max="12" width="10.57421875" style="7" customWidth="1"/>
    <col min="13" max="13" width="16.28125" style="0" customWidth="1"/>
    <col min="15" max="15" width="20.7109375" style="0" customWidth="1"/>
  </cols>
  <sheetData>
    <row r="1" spans="1:12" s="11" customFormat="1" ht="12.75">
      <c r="A1" s="95" t="s">
        <v>96</v>
      </c>
      <c r="B1" s="96"/>
      <c r="C1" s="96"/>
      <c r="D1" s="96"/>
      <c r="E1" s="96"/>
      <c r="F1" s="96"/>
      <c r="G1" s="97"/>
      <c r="I1" s="15"/>
      <c r="J1" s="16"/>
      <c r="K1" s="15"/>
      <c r="L1" s="16"/>
    </row>
    <row r="2" spans="1:12" s="11" customFormat="1" ht="13.5" thickBot="1">
      <c r="A2" s="98"/>
      <c r="B2" s="99"/>
      <c r="C2" s="99"/>
      <c r="D2" s="99"/>
      <c r="E2" s="99"/>
      <c r="F2" s="99"/>
      <c r="G2" s="100"/>
      <c r="I2" s="15"/>
      <c r="J2" s="16"/>
      <c r="K2" s="15"/>
      <c r="L2" s="16"/>
    </row>
    <row r="3" spans="1:12" s="11" customFormat="1" ht="13.5" thickBot="1">
      <c r="A3" s="22"/>
      <c r="B3" s="23"/>
      <c r="E3" s="24"/>
      <c r="F3" s="22"/>
      <c r="I3" s="15"/>
      <c r="J3" s="16"/>
      <c r="K3" s="15"/>
      <c r="L3" s="16"/>
    </row>
    <row r="4" spans="1:12" s="11" customFormat="1" ht="13.5" thickBot="1">
      <c r="A4" s="25" t="s">
        <v>130</v>
      </c>
      <c r="B4" s="26" t="s">
        <v>165</v>
      </c>
      <c r="C4" s="27"/>
      <c r="D4" s="11" t="s">
        <v>12</v>
      </c>
      <c r="E4" s="25" t="s">
        <v>140</v>
      </c>
      <c r="F4" s="26" t="s">
        <v>167</v>
      </c>
      <c r="G4" s="27"/>
      <c r="H4" s="11" t="s">
        <v>12</v>
      </c>
      <c r="I4" s="93" t="s">
        <v>128</v>
      </c>
      <c r="J4" s="94"/>
      <c r="K4" s="93" t="s">
        <v>125</v>
      </c>
      <c r="L4" s="94"/>
    </row>
    <row r="5" spans="1:12" s="11" customFormat="1" ht="12.75">
      <c r="A5" s="28" t="s">
        <v>176</v>
      </c>
      <c r="B5" s="29">
        <v>31476</v>
      </c>
      <c r="C5" s="30" t="s">
        <v>29</v>
      </c>
      <c r="E5" s="28" t="s">
        <v>90</v>
      </c>
      <c r="F5" s="29">
        <v>31476</v>
      </c>
      <c r="G5" s="30" t="s">
        <v>29</v>
      </c>
      <c r="I5" s="31" t="s">
        <v>129</v>
      </c>
      <c r="J5" s="32">
        <v>30</v>
      </c>
      <c r="K5" s="31" t="s">
        <v>123</v>
      </c>
      <c r="L5" s="32">
        <v>30</v>
      </c>
    </row>
    <row r="6" spans="1:12" s="11" customFormat="1" ht="13.5" thickBot="1">
      <c r="A6" s="33" t="s">
        <v>5</v>
      </c>
      <c r="B6" s="34">
        <v>4</v>
      </c>
      <c r="C6" s="35" t="s">
        <v>131</v>
      </c>
      <c r="E6" s="33" t="s">
        <v>91</v>
      </c>
      <c r="F6" s="34">
        <v>4</v>
      </c>
      <c r="G6" s="35" t="s">
        <v>92</v>
      </c>
      <c r="I6" s="65" t="s">
        <v>137</v>
      </c>
      <c r="J6" s="66">
        <v>500</v>
      </c>
      <c r="K6" s="64" t="s">
        <v>124</v>
      </c>
      <c r="L6" s="37">
        <v>60</v>
      </c>
    </row>
    <row r="7" spans="1:12" s="11" customFormat="1" ht="12.75">
      <c r="A7" s="38" t="s">
        <v>89</v>
      </c>
      <c r="B7" s="71">
        <f>(J5*J6*J6*J6)/12</f>
        <v>312500000</v>
      </c>
      <c r="C7" s="40" t="s">
        <v>139</v>
      </c>
      <c r="E7" s="38" t="s">
        <v>73</v>
      </c>
      <c r="F7" s="76">
        <f>((J6*J5*J5*J5)/12)</f>
        <v>1125000</v>
      </c>
      <c r="G7" s="40" t="s">
        <v>139</v>
      </c>
      <c r="I7" s="101" t="s">
        <v>136</v>
      </c>
      <c r="J7" s="102"/>
      <c r="K7" s="15"/>
      <c r="L7" s="16"/>
    </row>
    <row r="8" spans="1:12" s="11" customFormat="1" ht="15" customHeight="1">
      <c r="A8" s="38" t="s">
        <v>74</v>
      </c>
      <c r="B8" s="39">
        <v>0</v>
      </c>
      <c r="C8" s="40" t="s">
        <v>78</v>
      </c>
      <c r="E8" s="38" t="s">
        <v>74</v>
      </c>
      <c r="F8" s="39">
        <f>B16</f>
        <v>67500</v>
      </c>
      <c r="G8" s="40" t="s">
        <v>77</v>
      </c>
      <c r="I8" s="36" t="s">
        <v>123</v>
      </c>
      <c r="J8" s="37">
        <v>30</v>
      </c>
      <c r="K8" s="15"/>
      <c r="L8" s="16"/>
    </row>
    <row r="9" spans="1:12" s="11" customFormat="1" ht="12.75">
      <c r="A9" s="38" t="s">
        <v>75</v>
      </c>
      <c r="B9" s="39">
        <v>0</v>
      </c>
      <c r="C9" s="40" t="s">
        <v>79</v>
      </c>
      <c r="E9" s="38" t="s">
        <v>75</v>
      </c>
      <c r="F9" s="39">
        <f>B17</f>
        <v>67500</v>
      </c>
      <c r="G9" s="40" t="s">
        <v>78</v>
      </c>
      <c r="I9" s="36" t="s">
        <v>124</v>
      </c>
      <c r="J9" s="37">
        <v>30</v>
      </c>
      <c r="K9" s="15"/>
      <c r="L9" s="16"/>
    </row>
    <row r="10" spans="1:12" s="11" customFormat="1" ht="12.75">
      <c r="A10" s="38" t="s">
        <v>76</v>
      </c>
      <c r="B10" s="39">
        <v>0</v>
      </c>
      <c r="C10" s="41" t="s">
        <v>80</v>
      </c>
      <c r="D10" s="42"/>
      <c r="E10" s="38" t="s">
        <v>76</v>
      </c>
      <c r="F10" s="76">
        <f>F7</f>
        <v>1125000</v>
      </c>
      <c r="G10" s="40" t="s">
        <v>143</v>
      </c>
      <c r="I10" s="15"/>
      <c r="J10" s="16"/>
      <c r="K10" s="15"/>
      <c r="L10" s="16"/>
    </row>
    <row r="11" spans="1:12" s="11" customFormat="1" ht="12.75">
      <c r="A11" s="43" t="s">
        <v>95</v>
      </c>
      <c r="B11" s="9">
        <f>12*B5*SUM(B7:B10)/B6^3*10^(-5)</f>
        <v>18442968.75</v>
      </c>
      <c r="C11" s="44" t="s">
        <v>82</v>
      </c>
      <c r="D11" s="42"/>
      <c r="E11" s="43" t="s">
        <v>81</v>
      </c>
      <c r="F11" s="9">
        <f>12*F5*SUM(F7:F10)/F6^3*10^(-5)</f>
        <v>140756.73750000002</v>
      </c>
      <c r="G11" s="45" t="s">
        <v>86</v>
      </c>
      <c r="I11" s="15"/>
      <c r="K11" s="15"/>
      <c r="L11" s="16"/>
    </row>
    <row r="12" spans="1:13" s="11" customFormat="1" ht="13.5" thickBot="1">
      <c r="A12" s="46" t="s">
        <v>12</v>
      </c>
      <c r="B12" s="47" t="s">
        <v>12</v>
      </c>
      <c r="C12" s="48" t="s">
        <v>12</v>
      </c>
      <c r="D12" s="49"/>
      <c r="E12" s="50" t="s">
        <v>12</v>
      </c>
      <c r="F12" s="50"/>
      <c r="G12" s="49" t="s">
        <v>12</v>
      </c>
      <c r="I12" s="36" t="s">
        <v>150</v>
      </c>
      <c r="J12" s="35">
        <f>0.3*5*4</f>
        <v>6</v>
      </c>
      <c r="K12" s="79" t="s">
        <v>151</v>
      </c>
      <c r="L12" s="15">
        <v>2500</v>
      </c>
      <c r="M12" s="78" t="s">
        <v>152</v>
      </c>
    </row>
    <row r="13" spans="1:13" s="11" customFormat="1" ht="13.5" thickBot="1">
      <c r="A13" s="25" t="s">
        <v>119</v>
      </c>
      <c r="B13" s="26" t="s">
        <v>118</v>
      </c>
      <c r="C13" s="27" t="s">
        <v>117</v>
      </c>
      <c r="D13" s="11" t="s">
        <v>12</v>
      </c>
      <c r="E13" s="25" t="s">
        <v>121</v>
      </c>
      <c r="F13" s="26" t="s">
        <v>168</v>
      </c>
      <c r="G13" s="27" t="s">
        <v>141</v>
      </c>
      <c r="H13" s="11" t="s">
        <v>12</v>
      </c>
      <c r="I13" s="36" t="s">
        <v>149</v>
      </c>
      <c r="J13" s="35">
        <f>L12*J12</f>
        <v>15000</v>
      </c>
      <c r="K13" s="80" t="s">
        <v>171</v>
      </c>
      <c r="L13" s="16"/>
      <c r="M13" s="62"/>
    </row>
    <row r="14" spans="1:13" s="11" customFormat="1" ht="12.75">
      <c r="A14" s="28" t="s">
        <v>90</v>
      </c>
      <c r="B14" s="29">
        <v>31476</v>
      </c>
      <c r="C14" s="30" t="s">
        <v>29</v>
      </c>
      <c r="E14" s="28" t="s">
        <v>90</v>
      </c>
      <c r="F14" s="29">
        <v>31476</v>
      </c>
      <c r="G14" s="30" t="s">
        <v>29</v>
      </c>
      <c r="I14" s="36"/>
      <c r="J14" s="36">
        <v>14.71</v>
      </c>
      <c r="K14" s="80" t="s">
        <v>172</v>
      </c>
      <c r="L14" s="16"/>
      <c r="M14" s="62"/>
    </row>
    <row r="15" spans="1:12" s="11" customFormat="1" ht="12.75">
      <c r="A15" s="33" t="s">
        <v>91</v>
      </c>
      <c r="B15" s="34">
        <v>4</v>
      </c>
      <c r="C15" s="35" t="s">
        <v>92</v>
      </c>
      <c r="E15" s="33" t="s">
        <v>91</v>
      </c>
      <c r="F15" s="34">
        <v>4</v>
      </c>
      <c r="G15" s="35" t="s">
        <v>92</v>
      </c>
      <c r="I15" s="15"/>
      <c r="J15" s="16"/>
      <c r="K15" s="15"/>
      <c r="L15" s="16"/>
    </row>
    <row r="16" spans="1:12" s="11" customFormat="1" ht="12.75">
      <c r="A16" s="38" t="s">
        <v>73</v>
      </c>
      <c r="B16" s="39">
        <f>(J$8*J$9*J$9*J$9)/12</f>
        <v>67500</v>
      </c>
      <c r="C16" s="40" t="s">
        <v>77</v>
      </c>
      <c r="E16" s="38" t="s">
        <v>73</v>
      </c>
      <c r="F16" s="77">
        <f>F7</f>
        <v>1125000</v>
      </c>
      <c r="G16" s="40" t="s">
        <v>139</v>
      </c>
      <c r="I16" s="36" t="s">
        <v>154</v>
      </c>
      <c r="J16" s="36">
        <f>0.3*0.3*4</f>
        <v>0.36</v>
      </c>
      <c r="K16" s="37" t="s">
        <v>151</v>
      </c>
      <c r="L16" s="16"/>
    </row>
    <row r="17" spans="1:12" s="11" customFormat="1" ht="15" customHeight="1">
      <c r="A17" s="38" t="s">
        <v>74</v>
      </c>
      <c r="B17" s="39">
        <f>(J$8*J$9*J$9*J$9)/12</f>
        <v>67500</v>
      </c>
      <c r="C17" s="40" t="s">
        <v>78</v>
      </c>
      <c r="E17" s="38" t="s">
        <v>74</v>
      </c>
      <c r="F17" s="39">
        <v>67500</v>
      </c>
      <c r="G17" s="40" t="s">
        <v>77</v>
      </c>
      <c r="I17" s="36" t="s">
        <v>155</v>
      </c>
      <c r="J17" s="36">
        <f>L12*J16</f>
        <v>900</v>
      </c>
      <c r="K17" s="37" t="s">
        <v>171</v>
      </c>
      <c r="L17" s="16"/>
    </row>
    <row r="18" spans="1:12" s="11" customFormat="1" ht="12.75">
      <c r="A18" s="38" t="s">
        <v>75</v>
      </c>
      <c r="B18" s="39">
        <v>0</v>
      </c>
      <c r="C18" s="40" t="s">
        <v>79</v>
      </c>
      <c r="E18" s="38" t="s">
        <v>75</v>
      </c>
      <c r="F18" s="39">
        <v>67500</v>
      </c>
      <c r="G18" s="40" t="s">
        <v>78</v>
      </c>
      <c r="I18" s="36"/>
      <c r="J18" s="36">
        <v>0.86</v>
      </c>
      <c r="K18" s="37" t="s">
        <v>153</v>
      </c>
      <c r="L18" s="16"/>
    </row>
    <row r="19" spans="1:7" s="11" customFormat="1" ht="12.75">
      <c r="A19" s="38" t="s">
        <v>76</v>
      </c>
      <c r="B19" s="39">
        <v>0</v>
      </c>
      <c r="C19" s="41" t="s">
        <v>80</v>
      </c>
      <c r="D19" s="42"/>
      <c r="E19" s="38" t="s">
        <v>76</v>
      </c>
      <c r="F19" s="76">
        <f>F7</f>
        <v>1125000</v>
      </c>
      <c r="G19" s="40" t="s">
        <v>142</v>
      </c>
    </row>
    <row r="20" spans="1:7" s="11" customFormat="1" ht="12.75">
      <c r="A20" s="43" t="s">
        <v>81</v>
      </c>
      <c r="B20" s="9">
        <f>12*B14*SUM(B16:B19)/B15^3*10^(-5)</f>
        <v>7967.362500000001</v>
      </c>
      <c r="C20" s="45" t="s">
        <v>83</v>
      </c>
      <c r="D20" s="42"/>
      <c r="E20" s="43" t="s">
        <v>81</v>
      </c>
      <c r="F20" s="9">
        <f>12*F14*SUM(F16:F19)/F15^3*10^(-5)</f>
        <v>140756.73750000002</v>
      </c>
      <c r="G20" s="45" t="s">
        <v>88</v>
      </c>
    </row>
    <row r="21" spans="1:7" s="11" customFormat="1" ht="13.5" thickBot="1">
      <c r="A21" s="51" t="s">
        <v>12</v>
      </c>
      <c r="B21" s="52"/>
      <c r="C21" s="53"/>
      <c r="D21" s="49"/>
      <c r="E21" s="50"/>
      <c r="F21" s="50"/>
      <c r="G21" s="49"/>
    </row>
    <row r="22" spans="1:12" s="11" customFormat="1" ht="13.5" thickBot="1">
      <c r="A22" s="25" t="s">
        <v>120</v>
      </c>
      <c r="B22" s="26" t="s">
        <v>148</v>
      </c>
      <c r="C22" s="27" t="s">
        <v>117</v>
      </c>
      <c r="D22" s="49"/>
      <c r="E22" s="25" t="s">
        <v>170</v>
      </c>
      <c r="F22" s="26" t="s">
        <v>169</v>
      </c>
      <c r="G22" s="27" t="s">
        <v>117</v>
      </c>
      <c r="I22" s="15"/>
      <c r="J22" s="16"/>
      <c r="K22" s="15"/>
      <c r="L22" s="16"/>
    </row>
    <row r="23" spans="1:12" s="11" customFormat="1" ht="12.75">
      <c r="A23" s="28" t="s">
        <v>90</v>
      </c>
      <c r="B23" s="29">
        <v>31476</v>
      </c>
      <c r="C23" s="30" t="s">
        <v>29</v>
      </c>
      <c r="E23" s="28" t="s">
        <v>90</v>
      </c>
      <c r="F23" s="29">
        <v>31476</v>
      </c>
      <c r="G23" s="30" t="s">
        <v>29</v>
      </c>
      <c r="I23" s="15"/>
      <c r="J23" s="16"/>
      <c r="K23" s="15"/>
      <c r="L23" s="16"/>
    </row>
    <row r="24" spans="1:12" s="11" customFormat="1" ht="12.75">
      <c r="A24" s="33" t="s">
        <v>91</v>
      </c>
      <c r="B24" s="34">
        <v>4</v>
      </c>
      <c r="C24" s="35" t="s">
        <v>92</v>
      </c>
      <c r="E24" s="33" t="s">
        <v>91</v>
      </c>
      <c r="F24" s="34">
        <v>4</v>
      </c>
      <c r="G24" s="35" t="s">
        <v>92</v>
      </c>
      <c r="I24" s="15"/>
      <c r="J24" s="16"/>
      <c r="K24" s="15"/>
      <c r="L24" s="16"/>
    </row>
    <row r="25" spans="1:12" s="11" customFormat="1" ht="12.75">
      <c r="A25" s="38" t="s">
        <v>73</v>
      </c>
      <c r="B25" s="72">
        <f>B16</f>
        <v>67500</v>
      </c>
      <c r="C25" s="40" t="s">
        <v>77</v>
      </c>
      <c r="E25" s="38" t="s">
        <v>73</v>
      </c>
      <c r="F25" s="39">
        <f>F8</f>
        <v>67500</v>
      </c>
      <c r="G25" s="40" t="s">
        <v>77</v>
      </c>
      <c r="I25" s="15"/>
      <c r="J25" s="16"/>
      <c r="K25" s="22" t="s">
        <v>128</v>
      </c>
      <c r="L25" s="16"/>
    </row>
    <row r="26" spans="1:12" s="11" customFormat="1" ht="12.75">
      <c r="A26" s="38" t="s">
        <v>74</v>
      </c>
      <c r="B26" s="39">
        <f>B$17</f>
        <v>67500</v>
      </c>
      <c r="C26" s="40" t="s">
        <v>78</v>
      </c>
      <c r="E26" s="38" t="s">
        <v>74</v>
      </c>
      <c r="F26" s="39">
        <f>F9</f>
        <v>67500</v>
      </c>
      <c r="G26" s="40" t="s">
        <v>78</v>
      </c>
      <c r="I26" s="15" t="s">
        <v>134</v>
      </c>
      <c r="J26" s="16" t="s">
        <v>135</v>
      </c>
      <c r="K26" s="70" t="s">
        <v>144</v>
      </c>
      <c r="L26" s="68" t="s">
        <v>146</v>
      </c>
    </row>
    <row r="27" spans="1:12" s="11" customFormat="1" ht="12.75">
      <c r="A27" s="38" t="s">
        <v>75</v>
      </c>
      <c r="B27" s="39">
        <f>B16</f>
        <v>67500</v>
      </c>
      <c r="C27" s="40" t="s">
        <v>79</v>
      </c>
      <c r="E27" s="38" t="s">
        <v>75</v>
      </c>
      <c r="F27" s="39">
        <v>0</v>
      </c>
      <c r="G27" s="40" t="s">
        <v>79</v>
      </c>
      <c r="I27" s="15" t="s">
        <v>132</v>
      </c>
      <c r="J27" s="16" t="s">
        <v>133</v>
      </c>
      <c r="K27" s="69" t="s">
        <v>145</v>
      </c>
      <c r="L27" s="68" t="s">
        <v>147</v>
      </c>
    </row>
    <row r="28" spans="1:12" s="11" customFormat="1" ht="12.75">
      <c r="A28" s="38" t="s">
        <v>76</v>
      </c>
      <c r="B28" s="39">
        <v>0</v>
      </c>
      <c r="C28" s="40" t="s">
        <v>80</v>
      </c>
      <c r="E28" s="38" t="s">
        <v>76</v>
      </c>
      <c r="F28" s="39">
        <v>0</v>
      </c>
      <c r="G28" s="40" t="s">
        <v>80</v>
      </c>
      <c r="I28" s="15"/>
      <c r="J28" s="16"/>
      <c r="K28" s="15"/>
      <c r="L28" s="16"/>
    </row>
    <row r="29" spans="1:12" s="11" customFormat="1" ht="12.75">
      <c r="A29" s="43" t="s">
        <v>81</v>
      </c>
      <c r="B29" s="9">
        <f>12*B23*SUM(B25:B28)/B24^3*10^(-5)</f>
        <v>11951.04375</v>
      </c>
      <c r="C29" s="45" t="s">
        <v>84</v>
      </c>
      <c r="E29" s="43" t="s">
        <v>81</v>
      </c>
      <c r="F29" s="9">
        <f>12*F23*SUM(F25:F28)/F24^3*10^(-5)</f>
        <v>7967.362500000001</v>
      </c>
      <c r="G29" s="45" t="s">
        <v>87</v>
      </c>
      <c r="I29" s="15"/>
      <c r="J29" s="16"/>
      <c r="K29" s="15"/>
      <c r="L29" s="16"/>
    </row>
    <row r="30" spans="1:12" s="11" customFormat="1" ht="13.5" thickBot="1">
      <c r="A30" s="54" t="s">
        <v>12</v>
      </c>
      <c r="B30" s="52" t="s">
        <v>12</v>
      </c>
      <c r="C30" s="53" t="s">
        <v>12</v>
      </c>
      <c r="D30" s="53"/>
      <c r="E30" s="24"/>
      <c r="F30" s="22"/>
      <c r="I30" s="15"/>
      <c r="J30" s="16"/>
      <c r="K30" s="15"/>
      <c r="L30" s="16"/>
    </row>
    <row r="31" spans="1:12" s="11" customFormat="1" ht="13.5" thickBot="1">
      <c r="A31" s="25" t="s">
        <v>138</v>
      </c>
      <c r="B31" s="26" t="s">
        <v>166</v>
      </c>
      <c r="C31" s="27" t="s">
        <v>141</v>
      </c>
      <c r="D31" s="53"/>
      <c r="E31" s="24"/>
      <c r="F31" s="22"/>
      <c r="I31" s="15"/>
      <c r="J31" s="16"/>
      <c r="K31" s="15"/>
      <c r="L31" s="16"/>
    </row>
    <row r="32" spans="1:12" s="11" customFormat="1" ht="12.75">
      <c r="A32" s="28" t="s">
        <v>90</v>
      </c>
      <c r="B32" s="29">
        <v>31476</v>
      </c>
      <c r="C32" s="30" t="s">
        <v>29</v>
      </c>
      <c r="D32" s="53"/>
      <c r="E32" s="24"/>
      <c r="F32" s="22"/>
      <c r="I32" s="15"/>
      <c r="J32" s="16"/>
      <c r="K32" s="15"/>
      <c r="L32" s="16"/>
    </row>
    <row r="33" spans="1:12" s="11" customFormat="1" ht="12.75">
      <c r="A33" s="33" t="s">
        <v>91</v>
      </c>
      <c r="B33" s="34">
        <v>4</v>
      </c>
      <c r="C33" s="35" t="s">
        <v>92</v>
      </c>
      <c r="D33" s="53"/>
      <c r="E33" s="24"/>
      <c r="F33" s="22"/>
      <c r="I33" s="15"/>
      <c r="J33" s="16"/>
      <c r="K33" s="15"/>
      <c r="L33" s="16"/>
    </row>
    <row r="34" spans="1:12" s="11" customFormat="1" ht="12.75">
      <c r="A34" s="38" t="s">
        <v>73</v>
      </c>
      <c r="B34" s="71">
        <f>B7</f>
        <v>312500000</v>
      </c>
      <c r="C34" s="40" t="s">
        <v>139</v>
      </c>
      <c r="D34" s="53"/>
      <c r="E34" s="24"/>
      <c r="F34" s="22"/>
      <c r="I34" s="15"/>
      <c r="J34" s="16"/>
      <c r="K34" s="15"/>
      <c r="L34" s="16"/>
    </row>
    <row r="35" spans="1:12" s="11" customFormat="1" ht="12.75">
      <c r="A35" s="38" t="s">
        <v>74</v>
      </c>
      <c r="B35" s="39">
        <f>B27</f>
        <v>67500</v>
      </c>
      <c r="C35" s="40" t="s">
        <v>77</v>
      </c>
      <c r="D35" s="53"/>
      <c r="E35" s="24"/>
      <c r="F35" s="22"/>
      <c r="I35" s="15"/>
      <c r="J35" s="16"/>
      <c r="K35" s="15"/>
      <c r="L35" s="16"/>
    </row>
    <row r="36" spans="1:12" s="11" customFormat="1" ht="12.75">
      <c r="A36" s="38" t="s">
        <v>75</v>
      </c>
      <c r="B36" s="39">
        <v>0</v>
      </c>
      <c r="C36" s="40" t="s">
        <v>79</v>
      </c>
      <c r="D36" s="53"/>
      <c r="E36" s="24"/>
      <c r="F36" s="22"/>
      <c r="I36" s="15"/>
      <c r="J36" s="16"/>
      <c r="K36" s="15"/>
      <c r="L36" s="16"/>
    </row>
    <row r="37" spans="1:12" s="11" customFormat="1" ht="12.75">
      <c r="A37" s="38" t="s">
        <v>76</v>
      </c>
      <c r="B37" s="39">
        <v>0</v>
      </c>
      <c r="C37" s="40" t="s">
        <v>80</v>
      </c>
      <c r="D37" s="53"/>
      <c r="E37" s="24"/>
      <c r="F37" s="22"/>
      <c r="I37" s="15"/>
      <c r="J37" s="16"/>
      <c r="K37" s="15"/>
      <c r="L37" s="16"/>
    </row>
    <row r="38" spans="1:12" s="11" customFormat="1" ht="12.75">
      <c r="A38" s="43" t="s">
        <v>81</v>
      </c>
      <c r="B38" s="9">
        <f>12*B32*SUM(B34:B37)/B33^3*10^(-5)</f>
        <v>18446952.431250002</v>
      </c>
      <c r="C38" s="45" t="s">
        <v>85</v>
      </c>
      <c r="D38" s="53"/>
      <c r="E38" s="24"/>
      <c r="F38" s="22"/>
      <c r="I38" s="15"/>
      <c r="J38" s="16"/>
      <c r="K38" s="15"/>
      <c r="L38" s="16"/>
    </row>
    <row r="39" spans="1:12" s="11" customFormat="1" ht="13.5" thickBot="1">
      <c r="A39" s="54"/>
      <c r="B39" s="52"/>
      <c r="C39" s="53"/>
      <c r="D39" s="53"/>
      <c r="E39" s="50"/>
      <c r="F39" s="50"/>
      <c r="G39" s="49"/>
      <c r="I39" s="15"/>
      <c r="J39" s="16"/>
      <c r="K39" s="15"/>
      <c r="L39" s="16"/>
    </row>
    <row r="40" spans="1:12" s="11" customFormat="1" ht="12.75">
      <c r="A40" s="95" t="s">
        <v>97</v>
      </c>
      <c r="B40" s="96"/>
      <c r="C40" s="97"/>
      <c r="E40" s="95" t="s">
        <v>100</v>
      </c>
      <c r="F40" s="96"/>
      <c r="G40" s="97"/>
      <c r="I40" s="15"/>
      <c r="J40" s="16"/>
      <c r="K40" s="15"/>
      <c r="L40" s="16"/>
    </row>
    <row r="41" spans="1:12" s="11" customFormat="1" ht="13.5" thickBot="1">
      <c r="A41" s="98"/>
      <c r="B41" s="99"/>
      <c r="C41" s="100"/>
      <c r="E41" s="98"/>
      <c r="F41" s="99"/>
      <c r="G41" s="100"/>
      <c r="I41" s="15"/>
      <c r="J41" s="16"/>
      <c r="K41" s="15"/>
      <c r="L41" s="16"/>
    </row>
    <row r="42" spans="1:12" s="11" customFormat="1" ht="12.75">
      <c r="A42" s="22"/>
      <c r="B42" s="23"/>
      <c r="E42" s="50" t="s">
        <v>12</v>
      </c>
      <c r="F42" s="50" t="s">
        <v>12</v>
      </c>
      <c r="G42" s="49" t="s">
        <v>12</v>
      </c>
      <c r="I42" s="15"/>
      <c r="J42" s="16"/>
      <c r="K42" s="15"/>
      <c r="L42" s="16"/>
    </row>
    <row r="43" spans="1:12" s="11" customFormat="1" ht="12.75">
      <c r="A43" s="55" t="s">
        <v>6</v>
      </c>
      <c r="B43" s="9">
        <f>B11</f>
        <v>18442968.75</v>
      </c>
      <c r="C43" s="10" t="s">
        <v>30</v>
      </c>
      <c r="E43" s="33" t="s">
        <v>17</v>
      </c>
      <c r="F43" s="34">
        <v>4.21</v>
      </c>
      <c r="G43" s="35" t="s">
        <v>53</v>
      </c>
      <c r="I43" s="15"/>
      <c r="J43" s="16"/>
      <c r="K43" s="15"/>
      <c r="L43" s="16"/>
    </row>
    <row r="44" spans="1:12" s="11" customFormat="1" ht="12.75">
      <c r="A44" s="55" t="s">
        <v>0</v>
      </c>
      <c r="B44" s="9">
        <f>B20</f>
        <v>7967.362500000001</v>
      </c>
      <c r="C44" s="10" t="s">
        <v>31</v>
      </c>
      <c r="E44" s="33" t="s">
        <v>15</v>
      </c>
      <c r="F44" s="34">
        <v>3.43</v>
      </c>
      <c r="G44" s="35" t="s">
        <v>54</v>
      </c>
      <c r="I44" s="15"/>
      <c r="J44" s="16"/>
      <c r="K44" s="15"/>
      <c r="L44" s="16"/>
    </row>
    <row r="45" spans="1:12" s="11" customFormat="1" ht="12.75">
      <c r="A45" s="55" t="s">
        <v>1</v>
      </c>
      <c r="B45" s="9">
        <f>B29</f>
        <v>11951.04375</v>
      </c>
      <c r="C45" s="10" t="s">
        <v>32</v>
      </c>
      <c r="E45" s="33" t="s">
        <v>16</v>
      </c>
      <c r="F45" s="34">
        <v>3</v>
      </c>
      <c r="G45" s="35" t="s">
        <v>55</v>
      </c>
      <c r="I45" s="15"/>
      <c r="J45" s="16"/>
      <c r="K45" s="15"/>
      <c r="L45" s="16"/>
    </row>
    <row r="46" spans="1:12" s="11" customFormat="1" ht="12.75">
      <c r="A46" s="55" t="s">
        <v>2</v>
      </c>
      <c r="B46" s="9">
        <f>B38</f>
        <v>18446952.431250002</v>
      </c>
      <c r="C46" s="10" t="s">
        <v>33</v>
      </c>
      <c r="E46" s="55" t="s">
        <v>69</v>
      </c>
      <c r="F46" s="9">
        <f>(F43+F44)*130</f>
        <v>993.2</v>
      </c>
      <c r="G46" s="10" t="s">
        <v>56</v>
      </c>
      <c r="I46" s="15"/>
      <c r="J46" s="16"/>
      <c r="K46" s="15"/>
      <c r="L46" s="16"/>
    </row>
    <row r="47" spans="1:12" s="11" customFormat="1" ht="12.75">
      <c r="A47" s="38" t="s">
        <v>7</v>
      </c>
      <c r="B47" s="39">
        <v>8</v>
      </c>
      <c r="C47" s="40" t="s">
        <v>37</v>
      </c>
      <c r="E47" s="55" t="s">
        <v>101</v>
      </c>
      <c r="F47" s="9">
        <f>F45*130</f>
        <v>390</v>
      </c>
      <c r="G47" s="10" t="s">
        <v>57</v>
      </c>
      <c r="I47" s="15"/>
      <c r="J47" s="16"/>
      <c r="K47" s="15"/>
      <c r="L47" s="16"/>
    </row>
    <row r="48" spans="1:12" s="11" customFormat="1" ht="15.75">
      <c r="A48" s="38" t="s">
        <v>3</v>
      </c>
      <c r="B48" s="39">
        <v>13</v>
      </c>
      <c r="C48" s="40" t="s">
        <v>37</v>
      </c>
      <c r="E48" s="56" t="s">
        <v>13</v>
      </c>
      <c r="F48" s="34">
        <v>0.3</v>
      </c>
      <c r="G48" s="35" t="s">
        <v>58</v>
      </c>
      <c r="I48" s="15"/>
      <c r="J48" s="16"/>
      <c r="K48" s="15"/>
      <c r="L48" s="16"/>
    </row>
    <row r="49" spans="1:12" s="11" customFormat="1" ht="12.75">
      <c r="A49" s="38" t="s">
        <v>4</v>
      </c>
      <c r="B49" s="39">
        <v>18</v>
      </c>
      <c r="C49" s="40" t="s">
        <v>37</v>
      </c>
      <c r="E49" s="55" t="s">
        <v>102</v>
      </c>
      <c r="F49" s="9">
        <f>F46+F47*F48</f>
        <v>1110.2</v>
      </c>
      <c r="G49" s="10" t="s">
        <v>59</v>
      </c>
      <c r="I49" s="15"/>
      <c r="J49" s="16"/>
      <c r="K49" s="15"/>
      <c r="L49" s="16"/>
    </row>
    <row r="50" spans="1:12" s="11" customFormat="1" ht="12.75">
      <c r="A50" s="55" t="s">
        <v>8</v>
      </c>
      <c r="B50" s="9">
        <f>F11</f>
        <v>140756.73750000002</v>
      </c>
      <c r="C50" s="10" t="s">
        <v>34</v>
      </c>
      <c r="E50" s="33" t="s">
        <v>14</v>
      </c>
      <c r="F50" s="34">
        <v>0.15</v>
      </c>
      <c r="G50" s="35" t="s">
        <v>60</v>
      </c>
      <c r="I50" s="15"/>
      <c r="J50" s="16"/>
      <c r="K50" s="15"/>
      <c r="L50" s="16"/>
    </row>
    <row r="51" spans="1:12" s="11" customFormat="1" ht="13.5" thickBot="1">
      <c r="A51" s="55" t="s">
        <v>9</v>
      </c>
      <c r="B51" s="9">
        <f>F20</f>
        <v>140756.73750000002</v>
      </c>
      <c r="C51" s="10" t="s">
        <v>35</v>
      </c>
      <c r="E51" s="57" t="s">
        <v>103</v>
      </c>
      <c r="F51" s="58">
        <f>F49*F50</f>
        <v>166.53</v>
      </c>
      <c r="G51" s="10" t="s">
        <v>104</v>
      </c>
      <c r="I51" s="15"/>
      <c r="J51" s="16"/>
      <c r="K51" s="15"/>
      <c r="L51" s="16"/>
    </row>
    <row r="52" spans="1:12" s="11" customFormat="1" ht="13.5" thickBot="1">
      <c r="A52" s="55" t="s">
        <v>10</v>
      </c>
      <c r="B52" s="9">
        <f>F29</f>
        <v>7967.362500000001</v>
      </c>
      <c r="C52" s="10" t="s">
        <v>36</v>
      </c>
      <c r="E52" s="3" t="s">
        <v>12</v>
      </c>
      <c r="F52" s="4"/>
      <c r="H52" s="11" t="s">
        <v>12</v>
      </c>
      <c r="I52" s="15" t="s">
        <v>12</v>
      </c>
      <c r="J52" s="16" t="s">
        <v>12</v>
      </c>
      <c r="K52" s="15" t="s">
        <v>12</v>
      </c>
      <c r="L52" s="16"/>
    </row>
    <row r="53" spans="1:12" s="11" customFormat="1" ht="12.75">
      <c r="A53" s="33" t="s">
        <v>39</v>
      </c>
      <c r="B53" s="34">
        <v>5</v>
      </c>
      <c r="C53" s="35" t="s">
        <v>38</v>
      </c>
      <c r="E53" s="95" t="s">
        <v>105</v>
      </c>
      <c r="F53" s="96"/>
      <c r="G53" s="97"/>
      <c r="I53" s="15"/>
      <c r="J53" s="16"/>
      <c r="K53" s="15"/>
      <c r="L53" s="16"/>
    </row>
    <row r="54" spans="1:12" s="11" customFormat="1" ht="13.5" thickBot="1">
      <c r="A54" s="33" t="s">
        <v>11</v>
      </c>
      <c r="B54" s="34">
        <v>13</v>
      </c>
      <c r="C54" s="35" t="s">
        <v>38</v>
      </c>
      <c r="E54" s="98"/>
      <c r="F54" s="99"/>
      <c r="G54" s="100"/>
      <c r="I54" s="15"/>
      <c r="J54" s="16"/>
      <c r="K54" s="15"/>
      <c r="L54" s="16"/>
    </row>
    <row r="55" spans="1:12" s="11" customFormat="1" ht="12.75">
      <c r="A55" s="22"/>
      <c r="B55" s="23"/>
      <c r="E55" s="22"/>
      <c r="F55" s="22"/>
      <c r="I55" s="15"/>
      <c r="J55" s="16"/>
      <c r="K55" s="15"/>
      <c r="L55" s="16"/>
    </row>
    <row r="56" spans="1:20" s="11" customFormat="1" ht="15" customHeight="1" thickBot="1">
      <c r="A56" s="22"/>
      <c r="B56" s="23"/>
      <c r="E56" s="12" t="s">
        <v>107</v>
      </c>
      <c r="F56" s="59">
        <f>F51*(B79-B70)</f>
        <v>-38.84751569290206</v>
      </c>
      <c r="G56" s="14" t="s">
        <v>114</v>
      </c>
      <c r="I56" s="15"/>
      <c r="J56" s="16"/>
      <c r="K56" s="15"/>
      <c r="L56" s="16"/>
      <c r="T56" s="11" t="s">
        <v>122</v>
      </c>
    </row>
    <row r="57" spans="1:12" s="11" customFormat="1" ht="12.75">
      <c r="A57" s="95" t="s">
        <v>98</v>
      </c>
      <c r="B57" s="96"/>
      <c r="C57" s="97"/>
      <c r="E57" s="12" t="s">
        <v>111</v>
      </c>
      <c r="F57" s="21">
        <f>F51/B76</f>
        <v>0.0005752712388086827</v>
      </c>
      <c r="G57" s="14" t="s">
        <v>70</v>
      </c>
      <c r="I57" s="81"/>
      <c r="J57" s="82"/>
      <c r="K57" s="81"/>
      <c r="L57" s="82"/>
    </row>
    <row r="58" spans="1:15" s="11" customFormat="1" ht="16.5" thickBot="1">
      <c r="A58" s="98"/>
      <c r="B58" s="99"/>
      <c r="C58" s="100"/>
      <c r="E58" s="20" t="s">
        <v>46</v>
      </c>
      <c r="F58" s="89">
        <f>F56/B88</f>
        <v>-1.2988586502561123E-08</v>
      </c>
      <c r="G58" s="14" t="s">
        <v>115</v>
      </c>
      <c r="I58" s="81"/>
      <c r="J58" s="82"/>
      <c r="K58" s="81"/>
      <c r="L58" s="82"/>
      <c r="M58" s="53"/>
      <c r="N58" s="53"/>
      <c r="O58" s="53"/>
    </row>
    <row r="59" spans="1:15" s="11" customFormat="1" ht="13.5" thickBot="1">
      <c r="A59" s="22"/>
      <c r="B59" s="23"/>
      <c r="E59" s="12" t="s">
        <v>112</v>
      </c>
      <c r="F59" s="59">
        <f>B43*B81*F58</f>
        <v>2.156424089131672</v>
      </c>
      <c r="G59" s="14" t="s">
        <v>62</v>
      </c>
      <c r="I59" s="81"/>
      <c r="J59" s="83"/>
      <c r="K59" s="83"/>
      <c r="L59" s="53"/>
      <c r="M59" s="53"/>
      <c r="N59" s="53"/>
      <c r="O59" s="53"/>
    </row>
    <row r="60" spans="1:15" s="11" customFormat="1" ht="12.75">
      <c r="A60" s="87" t="s">
        <v>149</v>
      </c>
      <c r="B60" s="84">
        <v>14.71</v>
      </c>
      <c r="C60" s="35" t="s">
        <v>174</v>
      </c>
      <c r="E60" s="12" t="s">
        <v>47</v>
      </c>
      <c r="F60" s="92">
        <f>B44*B82*F58</f>
        <v>0.00010369699027678929</v>
      </c>
      <c r="G60" s="14" t="s">
        <v>63</v>
      </c>
      <c r="I60" s="81"/>
      <c r="J60" s="83"/>
      <c r="K60" s="83"/>
      <c r="L60" s="53"/>
      <c r="M60" s="53"/>
      <c r="N60" s="53"/>
      <c r="O60" s="53"/>
    </row>
    <row r="61" spans="1:15" s="11" customFormat="1" ht="12.75">
      <c r="A61" s="33" t="s">
        <v>155</v>
      </c>
      <c r="B61" s="84">
        <v>0.86</v>
      </c>
      <c r="C61" s="35" t="s">
        <v>175</v>
      </c>
      <c r="E61" s="12" t="s">
        <v>48</v>
      </c>
      <c r="F61" s="92">
        <f>B45*B83*F58</f>
        <v>-0.0006205903422986536</v>
      </c>
      <c r="G61" s="14" t="s">
        <v>64</v>
      </c>
      <c r="I61" s="81"/>
      <c r="J61" s="83"/>
      <c r="K61" s="52"/>
      <c r="L61" s="53"/>
      <c r="M61" s="53"/>
      <c r="N61" s="53"/>
      <c r="O61" s="53"/>
    </row>
    <row r="62" spans="1:15" s="11" customFormat="1" ht="12.75">
      <c r="A62" s="33" t="s">
        <v>156</v>
      </c>
      <c r="B62" s="85">
        <v>8</v>
      </c>
      <c r="C62" s="35" t="s">
        <v>157</v>
      </c>
      <c r="E62" s="12" t="s">
        <v>49</v>
      </c>
      <c r="F62" s="59">
        <f>B46*B84*F58</f>
        <v>-2.1559071957796507</v>
      </c>
      <c r="G62" s="14" t="s">
        <v>65</v>
      </c>
      <c r="I62" s="81"/>
      <c r="J62" s="83"/>
      <c r="K62" s="52"/>
      <c r="L62" s="53"/>
      <c r="M62" s="53"/>
      <c r="N62" s="53"/>
      <c r="O62" s="53"/>
    </row>
    <row r="63" spans="1:15" s="11" customFormat="1" ht="12.75">
      <c r="A63" s="33" t="s">
        <v>158</v>
      </c>
      <c r="B63" s="23">
        <v>13</v>
      </c>
      <c r="C63" s="35" t="s">
        <v>157</v>
      </c>
      <c r="E63" s="12" t="s">
        <v>50</v>
      </c>
      <c r="F63" s="59">
        <f>B50*(F57+B85*F58)</f>
        <v>80.97840167194948</v>
      </c>
      <c r="G63" s="14" t="s">
        <v>66</v>
      </c>
      <c r="I63" s="81"/>
      <c r="J63" s="83"/>
      <c r="K63" s="52"/>
      <c r="L63" s="53"/>
      <c r="M63" s="53"/>
      <c r="N63" s="53"/>
      <c r="O63" s="53"/>
    </row>
    <row r="64" spans="1:15" s="11" customFormat="1" ht="12.75">
      <c r="A64" s="33" t="s">
        <v>159</v>
      </c>
      <c r="B64" s="23">
        <v>18</v>
      </c>
      <c r="C64" s="35" t="s">
        <v>157</v>
      </c>
      <c r="E64" s="8" t="s">
        <v>51</v>
      </c>
      <c r="F64" s="59">
        <f>B51*(F57+B86*F58)</f>
        <v>80.96926051664529</v>
      </c>
      <c r="G64" s="14" t="s">
        <v>67</v>
      </c>
      <c r="I64" s="81"/>
      <c r="J64" s="83"/>
      <c r="K64" s="52"/>
      <c r="L64" s="53"/>
      <c r="M64" s="53"/>
      <c r="N64" s="53"/>
      <c r="O64" s="53"/>
    </row>
    <row r="65" spans="1:15" s="11" customFormat="1" ht="12.75">
      <c r="A65" s="33" t="s">
        <v>160</v>
      </c>
      <c r="B65" s="85">
        <v>2.5</v>
      </c>
      <c r="C65" s="35" t="s">
        <v>161</v>
      </c>
      <c r="E65" s="8" t="s">
        <v>52</v>
      </c>
      <c r="F65" s="59">
        <f>B52*(F57+B87*F58)</f>
        <v>4.582337811405203</v>
      </c>
      <c r="G65" s="14" t="s">
        <v>68</v>
      </c>
      <c r="I65" s="81"/>
      <c r="J65" s="83"/>
      <c r="K65" s="52"/>
      <c r="L65" s="53"/>
      <c r="M65" s="53"/>
      <c r="N65" s="53"/>
      <c r="O65" s="53"/>
    </row>
    <row r="66" spans="1:15" s="11" customFormat="1" ht="12.75">
      <c r="A66" s="33" t="s">
        <v>162</v>
      </c>
      <c r="B66" s="85">
        <v>5</v>
      </c>
      <c r="C66" s="35" t="s">
        <v>161</v>
      </c>
      <c r="E66" s="24"/>
      <c r="F66" s="23">
        <f>SUM(F59:F65)</f>
        <v>166.53</v>
      </c>
      <c r="I66" s="81"/>
      <c r="J66" s="83"/>
      <c r="K66" s="52"/>
      <c r="L66" s="53"/>
      <c r="M66" s="53"/>
      <c r="N66" s="53"/>
      <c r="O66" s="53"/>
    </row>
    <row r="67" spans="1:15" s="11" customFormat="1" ht="12.75">
      <c r="A67" s="33" t="s">
        <v>163</v>
      </c>
      <c r="B67" s="85">
        <v>13</v>
      </c>
      <c r="C67" s="35" t="s">
        <v>161</v>
      </c>
      <c r="E67" s="24"/>
      <c r="F67" s="22"/>
      <c r="G67" s="60">
        <f>B50*F57</f>
        <v>80.97330275229358</v>
      </c>
      <c r="H67" s="11" t="s">
        <v>126</v>
      </c>
      <c r="I67" s="81"/>
      <c r="J67" s="83"/>
      <c r="K67" s="90"/>
      <c r="L67" s="53"/>
      <c r="M67" s="53"/>
      <c r="N67" s="53"/>
      <c r="O67" s="53"/>
    </row>
    <row r="68" spans="1:15" s="11" customFormat="1" ht="12.75">
      <c r="A68" s="55" t="s">
        <v>173</v>
      </c>
      <c r="B68" s="86">
        <f>(B61*6)+(B60*2)</f>
        <v>34.58</v>
      </c>
      <c r="C68" s="10" t="s">
        <v>164</v>
      </c>
      <c r="E68" s="24"/>
      <c r="F68" s="22"/>
      <c r="G68" s="61">
        <f>B51*F57</f>
        <v>80.97330275229358</v>
      </c>
      <c r="H68" s="11" t="s">
        <v>9</v>
      </c>
      <c r="I68" s="81"/>
      <c r="J68" s="51"/>
      <c r="K68" s="52"/>
      <c r="L68" s="53"/>
      <c r="M68" s="53"/>
      <c r="N68" s="53"/>
      <c r="O68" s="53"/>
    </row>
    <row r="69" spans="1:15" s="11" customFormat="1" ht="12.75">
      <c r="A69" s="43" t="s">
        <v>18</v>
      </c>
      <c r="B69" s="86">
        <f>(B61*B62+B61*B63+B60*B64+B61*B62+B61*B63+B61*B63+B61*B64)/B68</f>
        <v>9.472527472527474</v>
      </c>
      <c r="C69" s="10" t="s">
        <v>93</v>
      </c>
      <c r="E69" s="24"/>
      <c r="F69" s="22"/>
      <c r="G69" s="61">
        <f>B52*F57</f>
        <v>4.583394495412844</v>
      </c>
      <c r="H69" s="11" t="s">
        <v>10</v>
      </c>
      <c r="I69" s="81"/>
      <c r="J69" s="51"/>
      <c r="K69" s="52"/>
      <c r="L69" s="53"/>
      <c r="M69" s="53"/>
      <c r="N69" s="53"/>
      <c r="O69" s="53"/>
    </row>
    <row r="70" spans="1:15" s="11" customFormat="1" ht="13.5" thickBot="1">
      <c r="A70" s="88" t="s">
        <v>19</v>
      </c>
      <c r="B70" s="86">
        <f>(B60*B65+B61*B66+B61*B66+B60*B65+B61*B67+B61*B67)/B68</f>
        <v>3.0222672064777334</v>
      </c>
      <c r="C70" s="10" t="s">
        <v>94</v>
      </c>
      <c r="E70" s="24"/>
      <c r="F70" s="22"/>
      <c r="G70" s="62">
        <f>SUM(G67:G69)</f>
        <v>166.53</v>
      </c>
      <c r="I70" s="81"/>
      <c r="J70" s="53"/>
      <c r="K70" s="53"/>
      <c r="L70" s="53"/>
      <c r="M70" s="53"/>
      <c r="N70" s="53"/>
      <c r="O70" s="53"/>
    </row>
    <row r="71" spans="5:15" s="11" customFormat="1" ht="12.75">
      <c r="E71" s="95" t="s">
        <v>106</v>
      </c>
      <c r="F71" s="96"/>
      <c r="G71" s="97"/>
      <c r="I71" s="81"/>
      <c r="J71" s="82"/>
      <c r="K71" s="81"/>
      <c r="L71" s="82"/>
      <c r="M71" s="53"/>
      <c r="N71" s="53"/>
      <c r="O71" s="53"/>
    </row>
    <row r="72" spans="5:12" s="11" customFormat="1" ht="13.5" thickBot="1">
      <c r="E72" s="98"/>
      <c r="F72" s="99"/>
      <c r="G72" s="100"/>
      <c r="I72" s="81"/>
      <c r="J72" s="82"/>
      <c r="K72" s="81"/>
      <c r="L72" s="82"/>
    </row>
    <row r="73" spans="1:12" s="11" customFormat="1" ht="12.75">
      <c r="A73" s="95" t="s">
        <v>99</v>
      </c>
      <c r="B73" s="96"/>
      <c r="C73" s="97"/>
      <c r="E73" s="22"/>
      <c r="F73" s="22"/>
      <c r="I73" s="15"/>
      <c r="J73" s="16"/>
      <c r="K73" s="15"/>
      <c r="L73" s="16"/>
    </row>
    <row r="74" spans="1:12" s="11" customFormat="1" ht="13.5" thickBot="1">
      <c r="A74" s="98"/>
      <c r="B74" s="99"/>
      <c r="C74" s="100"/>
      <c r="E74" s="12" t="s">
        <v>108</v>
      </c>
      <c r="F74" s="59">
        <f>F51*(B78-B69)</f>
        <v>-78.34850173087871</v>
      </c>
      <c r="G74" s="14" t="s">
        <v>116</v>
      </c>
      <c r="I74" s="15"/>
      <c r="J74" s="16"/>
      <c r="K74" s="15"/>
      <c r="L74" s="16"/>
    </row>
    <row r="75" spans="1:12" s="11" customFormat="1" ht="12.75">
      <c r="A75" s="22"/>
      <c r="B75" s="23"/>
      <c r="E75" s="12" t="s">
        <v>113</v>
      </c>
      <c r="F75" s="13">
        <f>F51/B77</f>
        <v>4.511805032509476E-06</v>
      </c>
      <c r="G75" s="14" t="s">
        <v>71</v>
      </c>
      <c r="I75" s="73"/>
      <c r="J75" s="74"/>
      <c r="K75" s="73"/>
      <c r="L75" s="16"/>
    </row>
    <row r="76" spans="1:12" s="11" customFormat="1" ht="12.75" customHeight="1">
      <c r="A76" s="8" t="s">
        <v>109</v>
      </c>
      <c r="B76" s="9">
        <f>SUM(B50:B52)</f>
        <v>289480.8375</v>
      </c>
      <c r="C76" s="10" t="s">
        <v>42</v>
      </c>
      <c r="E76" s="20" t="s">
        <v>46</v>
      </c>
      <c r="F76" s="89">
        <f>F74/B88</f>
        <v>-2.6195659463071234E-08</v>
      </c>
      <c r="G76" s="14" t="s">
        <v>61</v>
      </c>
      <c r="I76" s="73"/>
      <c r="J76" s="73"/>
      <c r="K76" s="75"/>
      <c r="L76" s="16"/>
    </row>
    <row r="77" spans="1:12" s="11" customFormat="1" ht="12.75">
      <c r="A77" s="8" t="s">
        <v>110</v>
      </c>
      <c r="B77" s="9">
        <f>SUM(B43:B46)</f>
        <v>36909839.587500006</v>
      </c>
      <c r="C77" s="10" t="s">
        <v>43</v>
      </c>
      <c r="E77" s="12" t="s">
        <v>112</v>
      </c>
      <c r="F77" s="59">
        <f>B43*(F75+B81*F76)</f>
        <v>87.56020151243386</v>
      </c>
      <c r="G77" s="14" t="s">
        <v>62</v>
      </c>
      <c r="I77" s="73"/>
      <c r="J77" s="73"/>
      <c r="K77" s="73"/>
      <c r="L77" s="16"/>
    </row>
    <row r="78" spans="1:12" s="11" customFormat="1" ht="12.75">
      <c r="A78" s="17" t="s">
        <v>21</v>
      </c>
      <c r="B78" s="18">
        <f>(B44*B47+B45*B48+B46*B49)/B77</f>
        <v>9.002050671165085</v>
      </c>
      <c r="C78" s="19" t="s">
        <v>40</v>
      </c>
      <c r="E78" s="12" t="s">
        <v>47</v>
      </c>
      <c r="F78" s="59">
        <f>B44*(F75+B82*F76)</f>
        <v>0.036156324534420685</v>
      </c>
      <c r="G78" s="14" t="s">
        <v>63</v>
      </c>
      <c r="I78" s="15"/>
      <c r="J78" s="15"/>
      <c r="K78" s="15"/>
      <c r="L78" s="16"/>
    </row>
    <row r="79" spans="1:12" s="11" customFormat="1" ht="12.75">
      <c r="A79" s="8" t="s">
        <v>20</v>
      </c>
      <c r="B79" s="9">
        <f>(B51*B53+B52*B54)/B76</f>
        <v>2.7889908256880735</v>
      </c>
      <c r="C79" s="10" t="s">
        <v>41</v>
      </c>
      <c r="E79" s="12" t="s">
        <v>48</v>
      </c>
      <c r="F79" s="59">
        <f>B45*(F75+B83*F76)</f>
        <v>0.0526691594401147</v>
      </c>
      <c r="G79" s="14" t="s">
        <v>64</v>
      </c>
      <c r="I79" s="15"/>
      <c r="J79" s="16"/>
      <c r="K79" s="15"/>
      <c r="L79" s="16"/>
    </row>
    <row r="80" spans="1:12" s="11" customFormat="1" ht="12.75">
      <c r="A80" s="22"/>
      <c r="B80" s="23"/>
      <c r="E80" s="12" t="s">
        <v>49</v>
      </c>
      <c r="F80" s="59">
        <f>B46*(F75+B84*F76)</f>
        <v>78.88097300359158</v>
      </c>
      <c r="G80" s="14" t="s">
        <v>65</v>
      </c>
      <c r="I80" s="15"/>
      <c r="J80" s="16"/>
      <c r="K80" s="15"/>
      <c r="L80" s="16"/>
    </row>
    <row r="81" spans="1:12" s="11" customFormat="1" ht="12.75">
      <c r="A81" s="8" t="s">
        <v>22</v>
      </c>
      <c r="B81" s="9">
        <f>-B78</f>
        <v>-9.002050671165085</v>
      </c>
      <c r="C81" s="10" t="s">
        <v>44</v>
      </c>
      <c r="E81" s="12" t="s">
        <v>50</v>
      </c>
      <c r="F81" s="59">
        <f>B50*B85*F76</f>
        <v>0.010283610376656921</v>
      </c>
      <c r="G81" s="14" t="s">
        <v>66</v>
      </c>
      <c r="I81" s="15"/>
      <c r="J81" s="16"/>
      <c r="K81" s="15"/>
      <c r="L81" s="16"/>
    </row>
    <row r="82" spans="1:12" s="11" customFormat="1" ht="12.75">
      <c r="A82" s="8" t="s">
        <v>23</v>
      </c>
      <c r="B82" s="9">
        <f>B47-B78</f>
        <v>-1.002050671165085</v>
      </c>
      <c r="C82" s="10" t="s">
        <v>44</v>
      </c>
      <c r="E82" s="8" t="s">
        <v>51</v>
      </c>
      <c r="F82" s="59">
        <f>B51*B86*F76</f>
        <v>-0.008152467436757623</v>
      </c>
      <c r="G82" s="14" t="s">
        <v>67</v>
      </c>
      <c r="I82" s="15"/>
      <c r="J82" s="16"/>
      <c r="K82" s="15"/>
      <c r="L82" s="16"/>
    </row>
    <row r="83" spans="1:12" s="11" customFormat="1" ht="12.75">
      <c r="A83" s="8" t="s">
        <v>24</v>
      </c>
      <c r="B83" s="9">
        <f>B48-B78</f>
        <v>3.997949328834915</v>
      </c>
      <c r="C83" s="10" t="s">
        <v>44</v>
      </c>
      <c r="E83" s="8" t="s">
        <v>52</v>
      </c>
      <c r="F83" s="91">
        <f>B52*B87*F76</f>
        <v>-0.002131142939899296</v>
      </c>
      <c r="G83" s="14" t="s">
        <v>68</v>
      </c>
      <c r="I83" s="15"/>
      <c r="J83" s="16"/>
      <c r="K83" s="15"/>
      <c r="L83" s="16"/>
    </row>
    <row r="84" spans="1:12" s="11" customFormat="1" ht="12.75">
      <c r="A84" s="8" t="s">
        <v>25</v>
      </c>
      <c r="B84" s="9">
        <f>B49-B78</f>
        <v>8.997949328834915</v>
      </c>
      <c r="C84" s="10" t="s">
        <v>44</v>
      </c>
      <c r="E84" s="24"/>
      <c r="F84" s="23">
        <f>SUM(F77:F83)</f>
        <v>166.52999999999997</v>
      </c>
      <c r="I84" s="15"/>
      <c r="J84" s="16"/>
      <c r="K84" s="15"/>
      <c r="L84" s="16"/>
    </row>
    <row r="85" spans="1:12" s="11" customFormat="1" ht="12.75">
      <c r="A85" s="8" t="s">
        <v>26</v>
      </c>
      <c r="B85" s="9">
        <f>-B79</f>
        <v>-2.7889908256880735</v>
      </c>
      <c r="C85" s="10" t="s">
        <v>44</v>
      </c>
      <c r="E85" s="24"/>
      <c r="F85" s="22"/>
      <c r="G85" s="63">
        <f>B43*F75</f>
        <v>83.211079220665</v>
      </c>
      <c r="H85" s="11" t="s">
        <v>127</v>
      </c>
      <c r="I85" s="15"/>
      <c r="J85" s="16"/>
      <c r="K85" s="15"/>
      <c r="L85" s="16"/>
    </row>
    <row r="86" spans="1:12" s="11" customFormat="1" ht="12.75">
      <c r="A86" s="8" t="s">
        <v>27</v>
      </c>
      <c r="B86" s="9">
        <f>B53-B79</f>
        <v>2.2110091743119265</v>
      </c>
      <c r="C86" s="10" t="s">
        <v>44</v>
      </c>
      <c r="E86" s="24"/>
      <c r="F86" s="22"/>
      <c r="G86" s="63">
        <f>B44*F75</f>
        <v>0.035947186223327286</v>
      </c>
      <c r="H86" s="11" t="s">
        <v>0</v>
      </c>
      <c r="I86" s="15"/>
      <c r="J86" s="16"/>
      <c r="K86" s="15"/>
      <c r="L86" s="16"/>
    </row>
    <row r="87" spans="1:12" s="11" customFormat="1" ht="12.75">
      <c r="A87" s="8" t="s">
        <v>28</v>
      </c>
      <c r="B87" s="9">
        <f>B54-B79</f>
        <v>10.211009174311926</v>
      </c>
      <c r="C87" s="10" t="s">
        <v>44</v>
      </c>
      <c r="E87" s="24"/>
      <c r="F87" s="22"/>
      <c r="G87" s="63">
        <f>B45*F75</f>
        <v>0.053920779334990926</v>
      </c>
      <c r="H87" s="11" t="s">
        <v>1</v>
      </c>
      <c r="I87" s="15"/>
      <c r="J87" s="16"/>
      <c r="K87" s="15"/>
      <c r="L87" s="16"/>
    </row>
    <row r="88" spans="1:12" s="11" customFormat="1" ht="13.5" customHeight="1">
      <c r="A88" s="8" t="s">
        <v>72</v>
      </c>
      <c r="B88" s="67">
        <f>B43*B81^2+B44*B82^2+B45*B83^2+B46*B84^2+B50*B85^2+B51*B86^2+B52*B87^2</f>
        <v>2990896329.268932</v>
      </c>
      <c r="C88" s="10" t="s">
        <v>45</v>
      </c>
      <c r="E88" s="24"/>
      <c r="F88" s="22"/>
      <c r="G88" s="63">
        <f>B46*F75</f>
        <v>83.22905281377668</v>
      </c>
      <c r="H88" s="11" t="s">
        <v>2</v>
      </c>
      <c r="I88" s="15"/>
      <c r="J88" s="16"/>
      <c r="K88" s="15"/>
      <c r="L88" s="16"/>
    </row>
    <row r="89" spans="1:12" s="11" customFormat="1" ht="12.75">
      <c r="A89" s="22"/>
      <c r="B89" s="23"/>
      <c r="E89" s="24"/>
      <c r="F89" s="22"/>
      <c r="G89" s="62">
        <f>SUM(G85:G88)</f>
        <v>166.52999999999997</v>
      </c>
      <c r="I89" s="15"/>
      <c r="J89" s="16"/>
      <c r="K89" s="15"/>
      <c r="L89" s="16"/>
    </row>
  </sheetData>
  <sheetProtection/>
  <mergeCells count="10">
    <mergeCell ref="I4:J4"/>
    <mergeCell ref="K4:L4"/>
    <mergeCell ref="A1:G2"/>
    <mergeCell ref="A40:C41"/>
    <mergeCell ref="A57:C58"/>
    <mergeCell ref="A73:C74"/>
    <mergeCell ref="E40:G41"/>
    <mergeCell ref="E53:G54"/>
    <mergeCell ref="E71:G72"/>
    <mergeCell ref="I7:J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HP</cp:lastModifiedBy>
  <cp:lastPrinted>2010-06-07T14:33:50Z</cp:lastPrinted>
  <dcterms:created xsi:type="dcterms:W3CDTF">2010-06-04T08:34:42Z</dcterms:created>
  <dcterms:modified xsi:type="dcterms:W3CDTF">2019-01-03T23:00:30Z</dcterms:modified>
  <cp:category/>
  <cp:version/>
  <cp:contentType/>
  <cp:contentStatus/>
</cp:coreProperties>
</file>