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880" windowHeight="10340" activeTab="1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'legno'!$B$1:$R$4</definedName>
  </definedNames>
  <calcPr fullCalcOnLoad="1"/>
</workbook>
</file>

<file path=xl/comments3.xml><?xml version="1.0" encoding="utf-8"?>
<comments xmlns="http://schemas.openxmlformats.org/spreadsheetml/2006/main">
  <authors>
    <author>mac</author>
  </authors>
  <commentList>
    <comment ref="E9" authorId="0">
      <text>
        <r>
          <rPr>
            <b/>
            <sz val="9"/>
            <rFont val="Tahoma"/>
            <family val="0"/>
          </rPr>
          <t>mac: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0"/>
          </rPr>
          <t>mac: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<sst xmlns="http://schemas.openxmlformats.org/spreadsheetml/2006/main" count="322" uniqueCount="131">
  <si>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</si>
  <si>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</si>
  <si>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</si>
  <si>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</si>
  <si>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</si>
  <si>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</si>
  <si>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 xml:space="preserve"> </t>
  </si>
  <si>
    <t xml:space="preserve"> </t>
  </si>
  <si>
    <t xml:space="preserve"> </t>
  </si>
  <si>
    <t>cm</t>
  </si>
  <si>
    <t>HEA200</t>
  </si>
  <si>
    <t>HEA240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</si>
  <si>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</si>
  <si>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</si>
  <si>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</si>
  <si>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</si>
  <si>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</si>
  <si>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</si>
  <si>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</si>
  <si>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</si>
  <si>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</si>
  <si>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</si>
  <si>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</si>
  <si>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</si>
  <si>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</si>
  <si>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</si>
  <si>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</si>
  <si>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</si>
  <si>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</si>
  <si>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</si>
  <si>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</si>
  <si>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</si>
  <si>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</si>
  <si>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</si>
  <si>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</si>
  <si>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</si>
  <si>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</si>
  <si>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</si>
  <si>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</si>
  <si>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</si>
  <si>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</si>
  <si>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</si>
  <si>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</si>
  <si>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</si>
  <si>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</si>
  <si>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</si>
  <si>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</si>
  <si>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</si>
  <si>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</si>
  <si>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</si>
  <si>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</si>
  <si>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</si>
  <si>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</si>
  <si>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</si>
  <si>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</si>
  <si>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</si>
  <si>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</si>
  <si>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</si>
  <si>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</si>
  <si>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</si>
  <si>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</si>
  <si>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</si>
  <si>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</si>
  <si>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</si>
  <si>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</si>
  <si>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</si>
  <si>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</si>
  <si>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</si>
  <si>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</si>
  <si>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</si>
  <si>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</si>
  <si>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</si>
  <si>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</si>
  <si>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</si>
  <si>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</si>
  <si>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</si>
  <si>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</si>
  <si>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</si>
  <si>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</si>
  <si>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</si>
  <si>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</si>
  <si>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</si>
  <si>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</si>
  <si>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</si>
  <si>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</si>
  <si>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</si>
  <si>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</si>
  <si>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</si>
  <si>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</si>
  <si>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</si>
  <si>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ipe 360</t>
  </si>
  <si>
    <t>HEA220</t>
  </si>
  <si>
    <t>ipe 450</t>
  </si>
  <si>
    <t>20x40</t>
  </si>
  <si>
    <t>20x35</t>
  </si>
  <si>
    <t>25x40</t>
  </si>
  <si>
    <t xml:space="preserve">verifica presso-flessione </t>
  </si>
  <si>
    <t>N</t>
  </si>
  <si>
    <t>A</t>
  </si>
  <si>
    <t>M</t>
  </si>
  <si>
    <t>W</t>
  </si>
  <si>
    <r>
      <rPr>
        <b/>
        <sz val="10"/>
        <color indexed="63"/>
        <rFont val="Arial"/>
        <family val="2"/>
      </rPr>
      <t xml:space="preserve">σ </t>
    </r>
    <r>
      <rPr>
        <b/>
        <sz val="7"/>
        <color indexed="63"/>
        <rFont val="Arial"/>
        <family val="2"/>
      </rPr>
      <t>c</t>
    </r>
  </si>
  <si>
    <t>σ f</t>
  </si>
  <si>
    <r>
      <t>f</t>
    </r>
    <r>
      <rPr>
        <vertAlign val="subscript"/>
        <sz val="14"/>
        <rFont val="Arial"/>
        <family val="0"/>
      </rPr>
      <t>cd</t>
    </r>
  </si>
  <si>
    <r>
      <t>ff</t>
    </r>
    <r>
      <rPr>
        <vertAlign val="subscript"/>
        <sz val="14"/>
        <rFont val="Arial"/>
        <family val="0"/>
      </rPr>
      <t>0,k</t>
    </r>
  </si>
  <si>
    <t>verifica</t>
  </si>
  <si>
    <t>KN*cm</t>
  </si>
  <si>
    <r>
      <t>ff</t>
    </r>
    <r>
      <rPr>
        <vertAlign val="subscript"/>
        <sz val="14"/>
        <rFont val="Arial"/>
        <family val="0"/>
      </rPr>
      <t>d</t>
    </r>
  </si>
  <si>
    <t xml:space="preserve">qa_sfavorevole (N più sfavorevole in assoluto) </t>
  </si>
  <si>
    <t>KN*m</t>
  </si>
  <si>
    <t>KN/M2</t>
  </si>
  <si>
    <t>fd</t>
  </si>
  <si>
    <t>m3</t>
  </si>
  <si>
    <t>VERIFICA PRESSO-FLESSIONE</t>
  </si>
  <si>
    <t>e</t>
  </si>
  <si>
    <t>H</t>
  </si>
  <si>
    <t>kn*m</t>
  </si>
  <si>
    <t>Kn</t>
  </si>
  <si>
    <t>m</t>
  </si>
  <si>
    <t>e&lt;(h/6)</t>
  </si>
  <si>
    <t>(h/6)&lt;e&lt;(h/2)</t>
  </si>
  <si>
    <t>(h/2)&lt;e</t>
  </si>
  <si>
    <t>-</t>
  </si>
  <si>
    <t>SISMAY</t>
  </si>
  <si>
    <t>SISMAX</t>
  </si>
  <si>
    <t>m2</t>
  </si>
  <si>
    <t>fcd</t>
  </si>
  <si>
    <t>kn/m2</t>
  </si>
  <si>
    <t>SISMA Y    e&lt;(h/6)</t>
  </si>
  <si>
    <t>SISMA X e&gt;H/2 su foglio excel delle travi</t>
  </si>
  <si>
    <t>SismaX (combinazione N+M più sfavorevole)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</si>
</sst>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0.0000000"/>
    <numFmt numFmtId="188" formatCode="_-&quot;€&quot;\ * #,##0_-;\-&quot;€&quot;\ * #,##0_-;_-&quot;€&quot;\ * &quot;-&quot;_-;_-@_-"/>
    <numFmt numFmtId="189" formatCode="_-* #,##0_-;\-* #,##0_-;_-* &quot;-&quot;_-;_-@_-"/>
    <numFmt numFmtId="190" formatCode="_-&quot;€&quot;\ * #,##0.00_-;\-&quot;€&quot;\ * #,##0.00_-;_-&quot;€&quot;\ * &quot;-&quot;??_-;_-@_-"/>
    <numFmt numFmtId="191" formatCode="_-* #,##0.00_-;\-* #,##0.00_-;_-* &quot;-&quot;??_-;_-@_-"/>
  </numFmts>
  <fonts count="5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b/>
      <sz val="7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7"/>
      <color rgb="FF222222"/>
      <name val="Arial"/>
      <family val="2"/>
    </font>
    <font>
      <b/>
      <sz val="10"/>
      <color rgb="FF222222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1" applyNumberFormat="0" applyAlignment="0" applyProtection="0"/>
    <xf numFmtId="0" fontId="38" fillId="0" borderId="2" applyNumberFormat="0" applyFill="0" applyAlignment="0" applyProtection="0"/>
    <xf numFmtId="0" fontId="39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0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42" fillId="18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8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0" fillId="28" borderId="0" applyNumberFormat="0" applyBorder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9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9" fontId="0" fillId="31" borderId="10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2" fontId="0" fillId="31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9" fontId="0" fillId="0" borderId="0" xfId="0" applyNumberFormat="1" applyFill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0" borderId="11" xfId="0" applyNumberFormat="1" applyFon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0" fillId="32" borderId="10" xfId="0" applyNumberFormat="1" applyFill="1" applyBorder="1" applyAlignment="1">
      <alignment horizontal="center"/>
    </xf>
    <xf numFmtId="180" fontId="0" fillId="32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81" fontId="0" fillId="31" borderId="1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49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2" fontId="0" fillId="35" borderId="0" xfId="0" applyNumberFormat="1" applyFill="1" applyBorder="1" applyAlignment="1">
      <alignment horizontal="center" vertical="center"/>
    </xf>
    <xf numFmtId="2" fontId="0" fillId="16" borderId="0" xfId="0" applyNumberForma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1" fontId="0" fillId="11" borderId="0" xfId="0" applyNumberForma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 wrapText="1"/>
    </xf>
    <xf numFmtId="2" fontId="0" fillId="11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2" fontId="0" fillId="36" borderId="16" xfId="0" applyNumberFormat="1" applyFont="1" applyFill="1" applyBorder="1" applyAlignment="1">
      <alignment vertical="center"/>
    </xf>
    <xf numFmtId="2" fontId="0" fillId="36" borderId="16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37" borderId="10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180" fontId="0" fillId="31" borderId="10" xfId="0" applyNumberForma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zoomScalePageLayoutView="0" workbookViewId="0" topLeftCell="A1">
      <selection activeCell="E18" sqref="E18"/>
    </sheetView>
  </sheetViews>
  <sheetFormatPr defaultColWidth="5.8515625" defaultRowHeight="12.75"/>
  <cols>
    <col min="1" max="1" width="5.8515625" style="3" customWidth="1"/>
    <col min="2" max="2" width="8.421875" style="3" customWidth="1"/>
    <col min="3" max="3" width="8.57421875" style="3" customWidth="1"/>
    <col min="4" max="4" width="11.28125" style="3" customWidth="1"/>
    <col min="5" max="5" width="8.8515625" style="3" customWidth="1"/>
    <col min="6" max="6" width="7.28125" style="3" customWidth="1"/>
    <col min="7" max="7" width="15.28125" style="3" customWidth="1"/>
    <col min="8" max="8" width="5.8515625" style="3" customWidth="1"/>
    <col min="9" max="9" width="9.140625" style="3" customWidth="1"/>
    <col min="10" max="10" width="7.140625" style="3" customWidth="1"/>
    <col min="11" max="11" width="9.421875" style="3" customWidth="1"/>
    <col min="12" max="12" width="5.8515625" style="3" customWidth="1"/>
    <col min="13" max="13" width="7.8515625" style="3" customWidth="1"/>
    <col min="14" max="14" width="5.8515625" style="3" customWidth="1"/>
    <col min="15" max="15" width="8.7109375" style="3" customWidth="1"/>
    <col min="16" max="16" width="8.140625" style="3" customWidth="1"/>
    <col min="17" max="17" width="12.421875" style="3" customWidth="1"/>
    <col min="18" max="18" width="6.8515625" style="3" customWidth="1"/>
    <col min="19" max="28" width="5.8515625" style="3" customWidth="1"/>
    <col min="29" max="29" width="8.140625" style="3" customWidth="1"/>
    <col min="30" max="16384" width="5.8515625" style="3" customWidth="1"/>
  </cols>
  <sheetData>
    <row r="1" spans="2:29" ht="20.25">
      <c r="B1" s="38" t="s">
        <v>77</v>
      </c>
      <c r="C1" s="38" t="s">
        <v>78</v>
      </c>
      <c r="D1" s="8" t="s">
        <v>30</v>
      </c>
      <c r="E1" s="38" t="s">
        <v>62</v>
      </c>
      <c r="F1" s="38" t="s">
        <v>63</v>
      </c>
      <c r="G1" s="27" t="s">
        <v>60</v>
      </c>
      <c r="H1" s="32" t="s">
        <v>31</v>
      </c>
      <c r="I1" s="32" t="s">
        <v>32</v>
      </c>
      <c r="J1" s="34" t="s">
        <v>33</v>
      </c>
      <c r="K1" s="20" t="s">
        <v>64</v>
      </c>
      <c r="L1" s="36" t="s">
        <v>65</v>
      </c>
      <c r="M1" s="6" t="s">
        <v>49</v>
      </c>
      <c r="N1" s="44" t="s">
        <v>50</v>
      </c>
      <c r="O1" s="31" t="s">
        <v>1</v>
      </c>
      <c r="P1" s="31" t="s">
        <v>2</v>
      </c>
      <c r="Q1" s="12" t="s">
        <v>0</v>
      </c>
      <c r="R1" s="19" t="s">
        <v>66</v>
      </c>
      <c r="S1" s="40" t="s">
        <v>47</v>
      </c>
      <c r="T1" s="41" t="s">
        <v>67</v>
      </c>
      <c r="U1" s="40" t="s">
        <v>46</v>
      </c>
      <c r="V1" s="21" t="s">
        <v>68</v>
      </c>
      <c r="W1" s="21" t="s">
        <v>69</v>
      </c>
      <c r="X1" s="21" t="s">
        <v>70</v>
      </c>
      <c r="Y1" s="40" t="s">
        <v>35</v>
      </c>
      <c r="Z1" s="21" t="s">
        <v>71</v>
      </c>
      <c r="AA1" s="40" t="s">
        <v>34</v>
      </c>
      <c r="AB1" s="21" t="s">
        <v>72</v>
      </c>
      <c r="AC1" s="21" t="s">
        <v>73</v>
      </c>
    </row>
    <row r="2" spans="2:29" ht="14.25">
      <c r="B2" s="39" t="s">
        <v>44</v>
      </c>
      <c r="C2" s="39" t="s">
        <v>25</v>
      </c>
      <c r="D2" s="19" t="s">
        <v>76</v>
      </c>
      <c r="E2" s="39" t="s">
        <v>27</v>
      </c>
      <c r="F2" s="39" t="s">
        <v>27</v>
      </c>
      <c r="G2" s="27" t="s">
        <v>61</v>
      </c>
      <c r="H2" s="32" t="s">
        <v>29</v>
      </c>
      <c r="I2" s="32" t="s">
        <v>28</v>
      </c>
      <c r="J2" s="34" t="s">
        <v>29</v>
      </c>
      <c r="K2" s="20" t="s">
        <v>61</v>
      </c>
      <c r="L2" s="32"/>
      <c r="M2" s="6" t="s">
        <v>40</v>
      </c>
      <c r="N2" s="32" t="s">
        <v>41</v>
      </c>
      <c r="O2" s="32"/>
      <c r="P2" s="32"/>
      <c r="Q2" s="7" t="s">
        <v>42</v>
      </c>
      <c r="R2" s="19" t="s">
        <v>75</v>
      </c>
      <c r="S2" s="40" t="s">
        <v>43</v>
      </c>
      <c r="T2" s="40"/>
      <c r="U2" s="40" t="s">
        <v>44</v>
      </c>
      <c r="V2" s="2"/>
      <c r="W2" s="2" t="s">
        <v>45</v>
      </c>
      <c r="X2" s="2" t="s">
        <v>48</v>
      </c>
      <c r="Y2" s="40" t="s">
        <v>45</v>
      </c>
      <c r="Z2" s="2" t="s">
        <v>48</v>
      </c>
      <c r="AA2" s="40" t="s">
        <v>48</v>
      </c>
      <c r="AB2" s="21" t="s">
        <v>75</v>
      </c>
      <c r="AC2" s="21" t="s">
        <v>74</v>
      </c>
    </row>
    <row r="3" spans="2:18" ht="1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29" ht="12">
      <c r="B4" s="35">
        <v>6</v>
      </c>
      <c r="C4" s="35">
        <v>5</v>
      </c>
      <c r="D4" s="9">
        <f>B4*C4</f>
        <v>30</v>
      </c>
      <c r="E4" s="35">
        <v>0.82</v>
      </c>
      <c r="F4" s="35">
        <v>0.48</v>
      </c>
      <c r="G4" s="28">
        <f>E4*B4*1.3+F4*C4*1.3</f>
        <v>9.516</v>
      </c>
      <c r="H4" s="35">
        <v>0.38</v>
      </c>
      <c r="I4" s="35">
        <v>2.96</v>
      </c>
      <c r="J4" s="35">
        <v>2</v>
      </c>
      <c r="K4" s="1">
        <f>(1.3*H4+1.5*I4+1.5*J4)*D4</f>
        <v>238.01999999999998</v>
      </c>
      <c r="L4" s="37">
        <v>4</v>
      </c>
      <c r="M4" s="10">
        <f>(K4+G4)*L4</f>
        <v>990.1439999999999</v>
      </c>
      <c r="N4" s="35">
        <v>21</v>
      </c>
      <c r="O4" s="35">
        <v>0.8</v>
      </c>
      <c r="P4" s="35">
        <v>1.45</v>
      </c>
      <c r="Q4" s="1">
        <f>O4*N4/P4</f>
        <v>11.586206896551724</v>
      </c>
      <c r="R4" s="16">
        <f>M4*10/Q4</f>
        <v>854.5885714285713</v>
      </c>
      <c r="S4" s="43">
        <v>8800</v>
      </c>
      <c r="T4" s="45">
        <v>1</v>
      </c>
      <c r="U4" s="40">
        <v>3.5</v>
      </c>
      <c r="V4" s="5">
        <f>SQRT(3.14^2*S4/Q4)</f>
        <v>86.5367029206738</v>
      </c>
      <c r="W4" s="2">
        <f>(T4*U4*100)/V4</f>
        <v>4.044526636528282</v>
      </c>
      <c r="X4" s="2">
        <f>W4*2*SQRT(3)</f>
        <v>14.01065125406529</v>
      </c>
      <c r="Y4" s="40">
        <v>20</v>
      </c>
      <c r="Z4" s="2">
        <f>R4/Y4</f>
        <v>42.72942857142856</v>
      </c>
      <c r="AA4" s="40">
        <v>50</v>
      </c>
      <c r="AB4" s="13">
        <f>Y4*AA4</f>
        <v>1000</v>
      </c>
      <c r="AC4" s="14">
        <f>AA4*Y4^3/12</f>
        <v>33333.333333333336</v>
      </c>
    </row>
    <row r="5" spans="2:29" s="11" customFormat="1" ht="12">
      <c r="B5" s="28"/>
      <c r="C5" s="28"/>
      <c r="D5" s="28"/>
      <c r="E5" s="28" t="s">
        <v>93</v>
      </c>
      <c r="F5" s="28" t="s">
        <v>94</v>
      </c>
      <c r="G5" s="28"/>
      <c r="H5" s="28"/>
      <c r="I5" s="28"/>
      <c r="J5" s="28"/>
      <c r="K5" s="28"/>
      <c r="L5" s="71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  <c r="AB5" s="55"/>
      <c r="AC5" s="51"/>
    </row>
    <row r="6" spans="2:29" ht="0.75" customHeight="1" hidden="1">
      <c r="B6" s="35">
        <v>8</v>
      </c>
      <c r="C6" s="35">
        <v>5</v>
      </c>
      <c r="D6" s="9">
        <f>B6*C6</f>
        <v>40</v>
      </c>
      <c r="E6" s="35">
        <v>0.36</v>
      </c>
      <c r="F6" s="35">
        <v>0.36</v>
      </c>
      <c r="G6" s="28">
        <f>E6*B6*1.3+F6*C6*1.3</f>
        <v>6.084</v>
      </c>
      <c r="H6" s="35">
        <v>1.5</v>
      </c>
      <c r="I6" s="35">
        <v>3</v>
      </c>
      <c r="J6" s="35">
        <v>2</v>
      </c>
      <c r="K6" s="1">
        <f>(1.3*H6+1.5*I6+1.5*J6)*D6</f>
        <v>378</v>
      </c>
      <c r="L6" s="37">
        <v>3</v>
      </c>
      <c r="M6" s="10">
        <f>(K6+G6)*L6</f>
        <v>1152.252</v>
      </c>
      <c r="N6" s="35">
        <v>21</v>
      </c>
      <c r="O6" s="35">
        <v>0.8</v>
      </c>
      <c r="P6" s="35">
        <v>1.5</v>
      </c>
      <c r="Q6" s="1">
        <f>O6*N6/P6</f>
        <v>11.200000000000001</v>
      </c>
      <c r="R6" s="16">
        <f>M6*10/Q6</f>
        <v>1028.7964285714286</v>
      </c>
      <c r="S6" s="43">
        <v>8800</v>
      </c>
      <c r="T6" s="45">
        <v>1</v>
      </c>
      <c r="U6" s="40">
        <v>3</v>
      </c>
      <c r="V6" s="5">
        <f>SQRT(3.14^2*S6/Q6)</f>
        <v>88.01606996127794</v>
      </c>
      <c r="W6" s="2">
        <f>(T6*U6*100)/V6</f>
        <v>3.4084684777675593</v>
      </c>
      <c r="X6" s="2">
        <f>W6*2*SQRT(3)</f>
        <v>11.807281158980725</v>
      </c>
      <c r="Y6" s="40">
        <v>30</v>
      </c>
      <c r="Z6" s="2">
        <f>R6/Y6</f>
        <v>34.293214285714285</v>
      </c>
      <c r="AA6" s="40">
        <v>40</v>
      </c>
      <c r="AB6" s="13">
        <f>Y6*AA6</f>
        <v>1200</v>
      </c>
      <c r="AC6" s="14">
        <f>AA6*Y6^3/12</f>
        <v>90000</v>
      </c>
    </row>
    <row r="7" spans="2:29" ht="12" hidden="1">
      <c r="B7" s="35">
        <v>7</v>
      </c>
      <c r="C7" s="35">
        <v>5</v>
      </c>
      <c r="D7" s="9">
        <f>B7*C7</f>
        <v>35</v>
      </c>
      <c r="E7" s="35">
        <v>0.36</v>
      </c>
      <c r="F7" s="35">
        <v>0.36</v>
      </c>
      <c r="G7" s="28">
        <f>E7*B7*1.3+F7*C7*1.3</f>
        <v>5.616</v>
      </c>
      <c r="H7" s="35">
        <v>1</v>
      </c>
      <c r="I7" s="35">
        <v>3</v>
      </c>
      <c r="J7" s="35">
        <v>2</v>
      </c>
      <c r="K7" s="1">
        <f>(1.3*H7+1.5*I7+1.5*J7)*D7</f>
        <v>308</v>
      </c>
      <c r="L7" s="37">
        <v>5</v>
      </c>
      <c r="M7" s="10">
        <f>(K7+G7)*L7</f>
        <v>1568.08</v>
      </c>
      <c r="N7" s="35">
        <v>21</v>
      </c>
      <c r="O7" s="35">
        <v>0.8</v>
      </c>
      <c r="P7" s="35">
        <v>1.5</v>
      </c>
      <c r="Q7" s="1">
        <f>O7*N7/P7</f>
        <v>11.200000000000001</v>
      </c>
      <c r="R7" s="16">
        <f>M7*10/Q7</f>
        <v>1400.0714285714284</v>
      </c>
      <c r="S7" s="43">
        <v>8800</v>
      </c>
      <c r="T7" s="45">
        <v>1</v>
      </c>
      <c r="U7" s="40">
        <v>3.5</v>
      </c>
      <c r="V7" s="5">
        <f>SQRT(3.14^2*S7/Q7)</f>
        <v>88.01606996127794</v>
      </c>
      <c r="W7" s="2">
        <f>(T7*U7*100)/V7</f>
        <v>3.9765465573954857</v>
      </c>
      <c r="X7" s="2">
        <f>W7*2*SQRT(3)</f>
        <v>13.77516135214418</v>
      </c>
      <c r="Y7" s="40">
        <v>40</v>
      </c>
      <c r="Z7" s="2">
        <f>R7/Y7</f>
        <v>35.00178571428571</v>
      </c>
      <c r="AA7" s="40">
        <v>40</v>
      </c>
      <c r="AB7" s="13">
        <f>Y7*AA7</f>
        <v>1600</v>
      </c>
      <c r="AC7" s="14">
        <f>AA7*Y7^3/12</f>
        <v>213333.33333333334</v>
      </c>
    </row>
    <row r="8" spans="2:29" ht="12" hidden="1">
      <c r="B8" s="35">
        <v>7</v>
      </c>
      <c r="C8" s="35">
        <v>6</v>
      </c>
      <c r="D8" s="9">
        <f>B8*C8</f>
        <v>42</v>
      </c>
      <c r="E8" s="35">
        <v>0.36</v>
      </c>
      <c r="F8" s="35">
        <v>0.36</v>
      </c>
      <c r="G8" s="28">
        <f>E8*B8*1.3+F8*C8*1.3</f>
        <v>6.0840000000000005</v>
      </c>
      <c r="H8" s="35">
        <v>2</v>
      </c>
      <c r="I8" s="35">
        <v>2</v>
      </c>
      <c r="J8" s="35">
        <v>2</v>
      </c>
      <c r="K8" s="1">
        <f>(1.3*H8+1.5*I8+1.5*J8)*D8</f>
        <v>361.2</v>
      </c>
      <c r="L8" s="37">
        <v>5</v>
      </c>
      <c r="M8" s="10">
        <f>(K8+G8)*L8</f>
        <v>1836.42</v>
      </c>
      <c r="N8" s="35">
        <v>21</v>
      </c>
      <c r="O8" s="35">
        <v>0.8</v>
      </c>
      <c r="P8" s="35">
        <v>1.5</v>
      </c>
      <c r="Q8" s="1">
        <f>O8*N8/P8</f>
        <v>11.200000000000001</v>
      </c>
      <c r="R8" s="16">
        <f>M8*10/Q8</f>
        <v>1639.6607142857142</v>
      </c>
      <c r="S8" s="43">
        <v>8800</v>
      </c>
      <c r="T8" s="45">
        <v>1</v>
      </c>
      <c r="U8" s="40">
        <v>4</v>
      </c>
      <c r="V8" s="5">
        <f>SQRT(3.14^2*S8/Q8)</f>
        <v>88.01606996127794</v>
      </c>
      <c r="W8" s="2">
        <f>(T8*U8*100)/V8</f>
        <v>4.5446246370234125</v>
      </c>
      <c r="X8" s="2">
        <f>W8*2*SQRT(3)</f>
        <v>15.743041545307634</v>
      </c>
      <c r="Y8" s="40">
        <v>35</v>
      </c>
      <c r="Z8" s="2">
        <f>R8/Y8</f>
        <v>46.84744897959183</v>
      </c>
      <c r="AA8" s="40">
        <v>50</v>
      </c>
      <c r="AB8" s="13">
        <f>Y8*AA8</f>
        <v>1750</v>
      </c>
      <c r="AC8" s="14">
        <f>AA8*Y8^3/12</f>
        <v>178645.83333333334</v>
      </c>
    </row>
    <row r="9" spans="2:29" s="11" customFormat="1" ht="12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53"/>
      <c r="Z9" s="53"/>
      <c r="AA9" s="53"/>
      <c r="AB9" s="55"/>
      <c r="AC9" s="51"/>
    </row>
    <row r="10" spans="2:29" ht="12">
      <c r="B10" s="74" t="s">
        <v>96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1"/>
      <c r="R10" s="50"/>
      <c r="S10" s="51"/>
      <c r="T10" s="52"/>
      <c r="U10" s="53"/>
      <c r="V10" s="54"/>
      <c r="W10" s="53"/>
      <c r="X10" s="53"/>
      <c r="Y10" s="53"/>
      <c r="Z10" s="53"/>
      <c r="AA10" s="53"/>
      <c r="AB10" s="55"/>
      <c r="AC10" s="51"/>
    </row>
    <row r="11" spans="2:29" ht="20.25">
      <c r="B11" s="57" t="s">
        <v>97</v>
      </c>
      <c r="C11" s="57" t="s">
        <v>98</v>
      </c>
      <c r="D11" s="58" t="s">
        <v>101</v>
      </c>
      <c r="E11" s="57" t="s">
        <v>99</v>
      </c>
      <c r="F11" s="57" t="s">
        <v>100</v>
      </c>
      <c r="G11" s="59" t="s">
        <v>102</v>
      </c>
      <c r="H11" s="31" t="s">
        <v>1</v>
      </c>
      <c r="I11" s="44" t="s">
        <v>50</v>
      </c>
      <c r="J11" s="31" t="s">
        <v>2</v>
      </c>
      <c r="K11" s="60" t="s">
        <v>103</v>
      </c>
      <c r="L11" s="31" t="s">
        <v>1</v>
      </c>
      <c r="M11" s="61" t="s">
        <v>104</v>
      </c>
      <c r="N11" s="31" t="s">
        <v>2</v>
      </c>
      <c r="O11" s="60" t="s">
        <v>107</v>
      </c>
      <c r="P11" s="63" t="s">
        <v>105</v>
      </c>
      <c r="Q11" s="1"/>
      <c r="R11" s="50"/>
      <c r="S11" s="51"/>
      <c r="T11" s="52"/>
      <c r="U11" s="53"/>
      <c r="V11" s="54"/>
      <c r="W11" s="53"/>
      <c r="X11" s="53"/>
      <c r="Y11" s="53"/>
      <c r="Z11" s="53"/>
      <c r="AA11" s="53"/>
      <c r="AB11" s="51"/>
      <c r="AC11" s="51"/>
    </row>
    <row r="12" spans="2:29" ht="14.25">
      <c r="B12" s="6" t="s">
        <v>40</v>
      </c>
      <c r="C12" s="21" t="s">
        <v>75</v>
      </c>
      <c r="D12" s="9"/>
      <c r="E12" s="57" t="s">
        <v>106</v>
      </c>
      <c r="F12" s="62" t="s">
        <v>53</v>
      </c>
      <c r="G12" s="28"/>
      <c r="H12" s="35"/>
      <c r="I12" s="84" t="s">
        <v>56</v>
      </c>
      <c r="J12" s="35"/>
      <c r="K12" s="1" t="s">
        <v>36</v>
      </c>
      <c r="L12" s="35"/>
      <c r="M12" s="84" t="s">
        <v>56</v>
      </c>
      <c r="N12" s="35"/>
      <c r="O12" s="28"/>
      <c r="P12" s="28"/>
      <c r="Q12" s="1"/>
      <c r="R12" s="50"/>
      <c r="S12" s="51"/>
      <c r="T12" s="52"/>
      <c r="U12" s="53"/>
      <c r="V12" s="54"/>
      <c r="W12" s="53"/>
      <c r="X12" s="53"/>
      <c r="Y12" s="53"/>
      <c r="Z12" s="53"/>
      <c r="AA12" s="53"/>
      <c r="AB12" s="51"/>
      <c r="AC12" s="51"/>
    </row>
    <row r="13" spans="2:29" ht="12">
      <c r="B13" s="77" t="s">
        <v>108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28"/>
      <c r="P13" s="28"/>
      <c r="Q13" s="1"/>
      <c r="R13" s="50"/>
      <c r="S13" s="51"/>
      <c r="T13" s="52"/>
      <c r="U13" s="53"/>
      <c r="V13" s="54"/>
      <c r="W13" s="53"/>
      <c r="X13" s="53"/>
      <c r="Y13" s="53"/>
      <c r="Z13" s="53"/>
      <c r="AA13" s="53"/>
      <c r="AB13" s="51"/>
      <c r="AC13" s="51"/>
    </row>
    <row r="14" spans="2:29" ht="12">
      <c r="B14" s="35">
        <v>1380</v>
      </c>
      <c r="C14" s="35">
        <v>1000</v>
      </c>
      <c r="D14" s="9">
        <f>(B14/C14)*10</f>
        <v>13.799999999999999</v>
      </c>
      <c r="E14" s="86">
        <v>0.0012</v>
      </c>
      <c r="F14" s="35">
        <f>(Y4*(AA4)^2)/6</f>
        <v>8333.333333333334</v>
      </c>
      <c r="G14" s="65">
        <f>(E14/F14)*1000</f>
        <v>0.00014399999999999998</v>
      </c>
      <c r="H14" s="35">
        <v>0.8</v>
      </c>
      <c r="I14" s="35">
        <v>21</v>
      </c>
      <c r="J14" s="35">
        <v>1.45</v>
      </c>
      <c r="K14" s="1">
        <f>H14*(I14/J14)</f>
        <v>11.586206896551724</v>
      </c>
      <c r="L14" s="37">
        <v>0.8</v>
      </c>
      <c r="M14" s="85">
        <v>24</v>
      </c>
      <c r="N14" s="35">
        <v>1.45</v>
      </c>
      <c r="O14" s="1">
        <f>L14*(M14/N14)</f>
        <v>13.24137931034483</v>
      </c>
      <c r="P14" s="119" t="b">
        <f>(D14/K14)+(G14/O14)&lt;1</f>
        <v>0</v>
      </c>
      <c r="Q14" s="66">
        <f>(D14/K14)+(G14/O14)</f>
        <v>1.1910823035714286</v>
      </c>
      <c r="R14" s="50"/>
      <c r="S14" s="51"/>
      <c r="T14" s="52"/>
      <c r="U14" s="53"/>
      <c r="V14" s="54"/>
      <c r="W14" s="53"/>
      <c r="X14" s="53"/>
      <c r="Y14" s="53"/>
      <c r="Z14" s="53"/>
      <c r="AA14" s="53"/>
      <c r="AB14" s="51"/>
      <c r="AC14" s="51"/>
    </row>
    <row r="15" spans="2:29" s="11" customFormat="1" ht="12">
      <c r="B15" s="125" t="s">
        <v>130</v>
      </c>
      <c r="C15" s="126"/>
      <c r="D15" s="126"/>
      <c r="E15" s="126"/>
      <c r="F15" s="126"/>
      <c r="G15" s="127"/>
      <c r="H15" s="28"/>
      <c r="I15" s="28"/>
      <c r="J15" s="28"/>
      <c r="K15" s="28" t="s">
        <v>36</v>
      </c>
      <c r="L15" s="49" t="s">
        <v>36</v>
      </c>
      <c r="M15" s="49"/>
      <c r="N15" s="28"/>
      <c r="O15" s="28"/>
      <c r="P15" s="28"/>
      <c r="Q15" s="28"/>
      <c r="R15" s="50"/>
      <c r="S15" s="51"/>
      <c r="T15" s="52"/>
      <c r="U15" s="53"/>
      <c r="V15" s="54"/>
      <c r="W15" s="53"/>
      <c r="X15" s="53"/>
      <c r="Y15" s="53"/>
      <c r="Z15" s="53"/>
      <c r="AA15" s="53"/>
      <c r="AB15" s="51"/>
      <c r="AC15" s="51"/>
    </row>
    <row r="16" spans="2:29" ht="12">
      <c r="B16" s="35">
        <v>770</v>
      </c>
      <c r="C16" s="35">
        <v>1000</v>
      </c>
      <c r="D16" s="9">
        <f>(B16/C16)*10</f>
        <v>7.7</v>
      </c>
      <c r="E16" s="64">
        <v>593</v>
      </c>
      <c r="F16" s="35">
        <f>(Y6*(AA6)^2)/6</f>
        <v>8000</v>
      </c>
      <c r="G16" s="65">
        <f>(E16/F16)*1000</f>
        <v>74.125</v>
      </c>
      <c r="H16" s="35">
        <v>0.8</v>
      </c>
      <c r="I16" s="35">
        <v>21</v>
      </c>
      <c r="J16" s="35">
        <v>1.45</v>
      </c>
      <c r="K16" s="1">
        <f>H16*(I16/J16)</f>
        <v>11.586206896551724</v>
      </c>
      <c r="L16" s="37">
        <v>0.8</v>
      </c>
      <c r="M16" s="85">
        <v>24</v>
      </c>
      <c r="N16" s="35">
        <v>1.45</v>
      </c>
      <c r="O16" s="1">
        <f>L16*(M16/N16)</f>
        <v>13.24137931034483</v>
      </c>
      <c r="P16" s="119" t="b">
        <f>(D16/K16)+(G16/O16)&lt;1</f>
        <v>0</v>
      </c>
      <c r="Q16" s="66">
        <f>(D16/K16)+(G16/O16)</f>
        <v>6.262565104166667</v>
      </c>
      <c r="R16" s="50"/>
      <c r="S16" s="51"/>
      <c r="T16" s="52"/>
      <c r="U16" s="53"/>
      <c r="V16" s="54"/>
      <c r="W16" s="53"/>
      <c r="X16" s="53"/>
      <c r="Y16" s="53"/>
      <c r="Z16" s="53"/>
      <c r="AA16" s="53"/>
      <c r="AB16" s="51"/>
      <c r="AC16" s="51"/>
    </row>
    <row r="17" spans="2:29" s="11" customFormat="1" ht="12">
      <c r="B17" s="28"/>
      <c r="C17" s="28"/>
      <c r="D17" s="28"/>
      <c r="E17" s="63"/>
      <c r="F17" s="28"/>
      <c r="G17" s="28"/>
      <c r="H17" s="28"/>
      <c r="I17" s="83"/>
      <c r="J17" s="28"/>
      <c r="K17" s="28" t="s">
        <v>36</v>
      </c>
      <c r="L17" s="49" t="s">
        <v>38</v>
      </c>
      <c r="M17" s="67"/>
      <c r="N17" s="28"/>
      <c r="O17" s="28"/>
      <c r="P17" s="28"/>
      <c r="Q17" s="28"/>
      <c r="R17" s="50"/>
      <c r="S17" s="51"/>
      <c r="T17" s="52"/>
      <c r="U17" s="53"/>
      <c r="V17" s="54"/>
      <c r="W17" s="53"/>
      <c r="X17" s="53"/>
      <c r="Y17" s="53"/>
      <c r="Z17" s="53"/>
      <c r="AA17" s="53"/>
      <c r="AB17" s="51"/>
      <c r="AC17" s="51"/>
    </row>
    <row r="18" spans="2:29" ht="20.25">
      <c r="B18" s="57" t="s">
        <v>97</v>
      </c>
      <c r="C18" s="57" t="s">
        <v>98</v>
      </c>
      <c r="D18" s="58" t="s">
        <v>101</v>
      </c>
      <c r="E18" s="57" t="s">
        <v>99</v>
      </c>
      <c r="F18" s="57" t="s">
        <v>100</v>
      </c>
      <c r="G18" s="59" t="s">
        <v>102</v>
      </c>
      <c r="H18" s="31" t="s">
        <v>1</v>
      </c>
      <c r="I18" s="44" t="s">
        <v>50</v>
      </c>
      <c r="J18" s="31" t="s">
        <v>2</v>
      </c>
      <c r="K18" s="60" t="s">
        <v>103</v>
      </c>
      <c r="L18" s="31" t="s">
        <v>1</v>
      </c>
      <c r="M18" s="61" t="s">
        <v>104</v>
      </c>
      <c r="N18" s="31" t="s">
        <v>2</v>
      </c>
      <c r="O18" s="60" t="s">
        <v>107</v>
      </c>
      <c r="P18" s="63" t="s">
        <v>105</v>
      </c>
      <c r="Q18" s="1"/>
      <c r="R18" s="50"/>
      <c r="S18" s="51"/>
      <c r="T18" s="52"/>
      <c r="U18" s="53"/>
      <c r="V18" s="54"/>
      <c r="W18" s="53"/>
      <c r="X18" s="53"/>
      <c r="Y18" s="53"/>
      <c r="Z18" s="53"/>
      <c r="AA18" s="53"/>
      <c r="AB18" s="51"/>
      <c r="AC18" s="51"/>
    </row>
    <row r="19" spans="2:29" ht="14.25">
      <c r="B19" s="6" t="s">
        <v>40</v>
      </c>
      <c r="C19" s="87" t="s">
        <v>76</v>
      </c>
      <c r="D19" s="9"/>
      <c r="E19" s="57" t="s">
        <v>109</v>
      </c>
      <c r="F19" s="62" t="s">
        <v>112</v>
      </c>
      <c r="G19" s="28"/>
      <c r="H19" s="35"/>
      <c r="I19" s="84" t="s">
        <v>110</v>
      </c>
      <c r="J19" s="35"/>
      <c r="K19" s="1" t="s">
        <v>14</v>
      </c>
      <c r="L19" s="35"/>
      <c r="M19" s="84" t="s">
        <v>56</v>
      </c>
      <c r="N19" s="35"/>
      <c r="O19" s="28"/>
      <c r="P19" s="28"/>
      <c r="Q19" s="1"/>
      <c r="R19" s="50"/>
      <c r="S19" s="51"/>
      <c r="T19" s="52"/>
      <c r="U19" s="53"/>
      <c r="V19" s="54"/>
      <c r="W19" s="53"/>
      <c r="X19" s="53"/>
      <c r="Y19" s="53"/>
      <c r="Z19" s="53"/>
      <c r="AA19" s="53"/>
      <c r="AB19" s="51"/>
      <c r="AC19" s="51"/>
    </row>
    <row r="20" spans="2:29" ht="12">
      <c r="B20" s="77" t="s">
        <v>108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28"/>
      <c r="P20" s="28"/>
      <c r="Q20" s="1"/>
      <c r="R20" s="50"/>
      <c r="S20" s="51"/>
      <c r="T20" s="52"/>
      <c r="U20" s="53"/>
      <c r="V20" s="54"/>
      <c r="W20" s="53"/>
      <c r="X20" s="53"/>
      <c r="Y20" s="53"/>
      <c r="Z20" s="53"/>
      <c r="AA20" s="53"/>
      <c r="AB20" s="51"/>
      <c r="AC20" s="51"/>
    </row>
    <row r="21" spans="2:29" ht="12">
      <c r="B21" s="35">
        <v>1380</v>
      </c>
      <c r="C21" s="35">
        <v>0.1</v>
      </c>
      <c r="D21" s="9">
        <f>(B21/C21)</f>
        <v>13800</v>
      </c>
      <c r="E21" s="86">
        <v>0.0012</v>
      </c>
      <c r="F21" s="93">
        <f>(0.2*(0.5)^2)/6</f>
        <v>0.008333333333333333</v>
      </c>
      <c r="G21" s="65">
        <f>(E21/F21)</f>
        <v>0.144</v>
      </c>
      <c r="H21" s="35">
        <v>0.8</v>
      </c>
      <c r="I21" s="35">
        <v>21000</v>
      </c>
      <c r="J21" s="35">
        <v>1.45</v>
      </c>
      <c r="K21" s="1">
        <f>H21*(I21/J21)</f>
        <v>11586.206896551725</v>
      </c>
      <c r="L21" s="37">
        <v>0.8</v>
      </c>
      <c r="M21" s="85">
        <v>24000</v>
      </c>
      <c r="N21" s="35">
        <v>1.45</v>
      </c>
      <c r="O21" s="1">
        <f>L21*(M21/N21)</f>
        <v>13241.37931034483</v>
      </c>
      <c r="P21" s="119" t="b">
        <f>(D21/K21)+(G21/O21)&lt;1</f>
        <v>0</v>
      </c>
      <c r="Q21" s="66">
        <f>(D21/K21)+(G21/O21)</f>
        <v>1.1910823035714286</v>
      </c>
      <c r="R21" s="50"/>
      <c r="S21" s="51"/>
      <c r="T21" s="52"/>
      <c r="U21" s="53"/>
      <c r="V21" s="54"/>
      <c r="W21" s="53"/>
      <c r="X21" s="53"/>
      <c r="Y21" s="53"/>
      <c r="Z21" s="53"/>
      <c r="AA21" s="53"/>
      <c r="AB21" s="51"/>
      <c r="AC21" s="51"/>
    </row>
    <row r="22" spans="2:29" s="11" customFormat="1" ht="12">
      <c r="B22" s="28"/>
      <c r="C22" s="28"/>
      <c r="D22" s="28"/>
      <c r="E22" s="28"/>
      <c r="F22" s="28"/>
      <c r="G22" s="28"/>
      <c r="H22" s="28"/>
      <c r="I22" s="28"/>
      <c r="J22" s="28"/>
      <c r="K22" s="28" t="s">
        <v>14</v>
      </c>
      <c r="L22" s="49" t="s">
        <v>14</v>
      </c>
      <c r="M22" s="49"/>
      <c r="N22" s="28"/>
      <c r="O22" s="28"/>
      <c r="P22" s="28"/>
      <c r="Q22" s="28"/>
      <c r="R22" s="50"/>
      <c r="S22" s="51"/>
      <c r="T22" s="52"/>
      <c r="U22" s="53"/>
      <c r="V22" s="54"/>
      <c r="W22" s="53"/>
      <c r="X22" s="53"/>
      <c r="Y22" s="53"/>
      <c r="Z22" s="53"/>
      <c r="AA22" s="53"/>
      <c r="AB22" s="51"/>
      <c r="AC22" s="51"/>
    </row>
    <row r="23" spans="2:29" ht="12">
      <c r="B23" s="35">
        <v>770</v>
      </c>
      <c r="C23" s="35">
        <v>0.1</v>
      </c>
      <c r="D23" s="9">
        <f>(B23/C23)</f>
        <v>7700</v>
      </c>
      <c r="E23" s="64">
        <v>593</v>
      </c>
      <c r="F23" s="93">
        <f>(0.2*(0.5)^2)/6</f>
        <v>0.008333333333333333</v>
      </c>
      <c r="G23" s="65">
        <f>(E23/F23)</f>
        <v>71160</v>
      </c>
      <c r="H23" s="35">
        <v>0.8</v>
      </c>
      <c r="I23" s="35">
        <v>21000</v>
      </c>
      <c r="J23" s="35">
        <v>1.45</v>
      </c>
      <c r="K23" s="1">
        <f>H23*(I23/J23)</f>
        <v>11586.206896551725</v>
      </c>
      <c r="L23" s="37">
        <v>0.8</v>
      </c>
      <c r="M23" s="85">
        <v>24000</v>
      </c>
      <c r="N23" s="35">
        <v>1.45</v>
      </c>
      <c r="O23" s="1">
        <f>L23*(M23/N23)</f>
        <v>13241.37931034483</v>
      </c>
      <c r="P23" s="119" t="b">
        <f>(D23/K23)+(G23/O23)&lt;1</f>
        <v>0</v>
      </c>
      <c r="Q23" s="66">
        <f>(D23/K23)+(G23/O23)</f>
        <v>6.038645833333332</v>
      </c>
      <c r="R23" s="50"/>
      <c r="S23" s="51"/>
      <c r="T23" s="52"/>
      <c r="U23" s="53"/>
      <c r="V23" s="54"/>
      <c r="W23" s="53"/>
      <c r="X23" s="53"/>
      <c r="Y23" s="53"/>
      <c r="Z23" s="53"/>
      <c r="AA23" s="53"/>
      <c r="AB23" s="51"/>
      <c r="AC23" s="51"/>
    </row>
    <row r="24" spans="2:29" s="11" customFormat="1" ht="12">
      <c r="B24" s="28"/>
      <c r="C24" s="28"/>
      <c r="D24" s="28"/>
      <c r="E24" s="28"/>
      <c r="F24" s="28"/>
      <c r="G24" s="28"/>
      <c r="H24" s="28"/>
      <c r="I24" s="28"/>
      <c r="J24" s="28"/>
      <c r="K24" s="28" t="s">
        <v>36</v>
      </c>
      <c r="L24" s="49" t="s">
        <v>38</v>
      </c>
      <c r="M24" s="49"/>
      <c r="N24" s="28"/>
      <c r="O24" s="28"/>
      <c r="P24" s="28"/>
      <c r="Q24" s="28"/>
      <c r="R24" s="50"/>
      <c r="S24" s="51"/>
      <c r="T24" s="52"/>
      <c r="U24" s="53"/>
      <c r="V24" s="54"/>
      <c r="W24" s="53"/>
      <c r="X24" s="53"/>
      <c r="Y24" s="53"/>
      <c r="Z24" s="53"/>
      <c r="AA24" s="53"/>
      <c r="AB24" s="51"/>
      <c r="AC24" s="51"/>
    </row>
    <row r="25" spans="2:29" s="11" customFormat="1" ht="12">
      <c r="B25" s="28"/>
      <c r="C25" s="28"/>
      <c r="D25" s="28"/>
      <c r="E25" s="28"/>
      <c r="F25" s="28"/>
      <c r="G25" s="28"/>
      <c r="H25" s="28"/>
      <c r="I25" s="28"/>
      <c r="J25" s="28"/>
      <c r="K25" s="28" t="s">
        <v>36</v>
      </c>
      <c r="L25" s="49" t="s">
        <v>36</v>
      </c>
      <c r="M25" s="49"/>
      <c r="N25" s="28"/>
      <c r="O25" s="28"/>
      <c r="P25" s="28"/>
      <c r="Q25" s="28"/>
      <c r="R25" s="50"/>
      <c r="S25" s="51"/>
      <c r="T25" s="52"/>
      <c r="U25" s="53"/>
      <c r="V25" s="54"/>
      <c r="W25" s="53"/>
      <c r="X25" s="53"/>
      <c r="Y25" s="53"/>
      <c r="Z25" s="53"/>
      <c r="AA25" s="53"/>
      <c r="AB25" s="51"/>
      <c r="AC25" s="51"/>
    </row>
    <row r="26" spans="2:29" s="11" customFormat="1" ht="12">
      <c r="B26" s="28"/>
      <c r="C26" s="28"/>
      <c r="D26" s="28"/>
      <c r="E26" s="28"/>
      <c r="F26" s="28"/>
      <c r="G26" s="28"/>
      <c r="H26" s="28"/>
      <c r="I26" s="28"/>
      <c r="J26" s="28"/>
      <c r="K26" s="28" t="s">
        <v>38</v>
      </c>
      <c r="L26" s="49" t="s">
        <v>36</v>
      </c>
      <c r="M26" s="49"/>
      <c r="N26" s="28"/>
      <c r="O26" s="28"/>
      <c r="P26" s="28"/>
      <c r="Q26" s="28"/>
      <c r="R26" s="50"/>
      <c r="S26" s="51"/>
      <c r="T26" s="52"/>
      <c r="U26" s="53"/>
      <c r="V26" s="54"/>
      <c r="W26" s="53"/>
      <c r="X26" s="53"/>
      <c r="Y26" s="53"/>
      <c r="Z26" s="53"/>
      <c r="AA26" s="53"/>
      <c r="AB26" s="51"/>
      <c r="AC26" s="51"/>
    </row>
    <row r="27" spans="2:29" s="11" customFormat="1" ht="12">
      <c r="B27" s="28"/>
      <c r="C27" s="28"/>
      <c r="D27" s="28"/>
      <c r="E27" s="28"/>
      <c r="F27" s="28"/>
      <c r="G27" s="28"/>
      <c r="H27" s="28"/>
      <c r="I27" s="28"/>
      <c r="J27" s="28"/>
      <c r="K27" s="28" t="s">
        <v>36</v>
      </c>
      <c r="L27" s="49" t="s">
        <v>37</v>
      </c>
      <c r="M27" s="49"/>
      <c r="N27" s="28"/>
      <c r="O27" s="28"/>
      <c r="P27" s="28"/>
      <c r="Q27" s="28"/>
      <c r="R27" s="50"/>
      <c r="S27" s="51"/>
      <c r="T27" s="52"/>
      <c r="U27" s="53"/>
      <c r="V27" s="54"/>
      <c r="W27" s="53"/>
      <c r="X27" s="53"/>
      <c r="Y27" s="53"/>
      <c r="Z27" s="53"/>
      <c r="AA27" s="53"/>
      <c r="AB27" s="51"/>
      <c r="AC27" s="51"/>
    </row>
    <row r="28" spans="2:29" s="11" customFormat="1" ht="12">
      <c r="B28" s="28"/>
      <c r="C28" s="28"/>
      <c r="D28" s="28"/>
      <c r="E28" s="28"/>
      <c r="F28" s="28"/>
      <c r="G28" s="28"/>
      <c r="H28" s="28"/>
      <c r="I28" s="28"/>
      <c r="J28" s="28"/>
      <c r="K28" s="28" t="s">
        <v>36</v>
      </c>
      <c r="L28" s="49" t="s">
        <v>36</v>
      </c>
      <c r="M28" s="49"/>
      <c r="N28" s="28"/>
      <c r="O28" s="28"/>
      <c r="P28" s="28"/>
      <c r="Q28" s="28"/>
      <c r="R28" s="50"/>
      <c r="S28" s="51"/>
      <c r="T28" s="52"/>
      <c r="U28" s="53"/>
      <c r="V28" s="54"/>
      <c r="W28" s="53"/>
      <c r="X28" s="53"/>
      <c r="Y28" s="53"/>
      <c r="Z28" s="53"/>
      <c r="AA28" s="53"/>
      <c r="AB28" s="51"/>
      <c r="AC28" s="51"/>
    </row>
    <row r="29" spans="2:29" s="11" customFormat="1" ht="12">
      <c r="B29" s="28"/>
      <c r="C29" s="28"/>
      <c r="D29" s="28"/>
      <c r="E29" s="28"/>
      <c r="F29" s="28"/>
      <c r="G29" s="28"/>
      <c r="H29" s="28"/>
      <c r="I29" s="28"/>
      <c r="J29" s="28"/>
      <c r="K29" s="28" t="s">
        <v>36</v>
      </c>
      <c r="L29" s="49" t="s">
        <v>36</v>
      </c>
      <c r="M29" s="49"/>
      <c r="N29" s="28"/>
      <c r="O29" s="28"/>
      <c r="P29" s="28"/>
      <c r="Q29" s="28"/>
      <c r="R29" s="50"/>
      <c r="S29" s="51"/>
      <c r="T29" s="52"/>
      <c r="U29" s="54"/>
      <c r="V29" s="53"/>
      <c r="W29" s="53"/>
      <c r="X29" s="53"/>
      <c r="Y29" s="53"/>
      <c r="Z29" s="53"/>
      <c r="AA29" s="53"/>
      <c r="AB29" s="51"/>
      <c r="AC29" s="51"/>
    </row>
    <row r="30" s="11" customFormat="1" ht="12">
      <c r="T30" s="70"/>
    </row>
    <row r="31" s="11" customFormat="1" ht="12"/>
    <row r="32" s="11" customFormat="1" ht="12"/>
    <row r="33" s="11" customFormat="1" ht="12"/>
    <row r="34" s="11" customFormat="1" ht="12">
      <c r="Q34" s="11" t="s">
        <v>15</v>
      </c>
    </row>
    <row r="35" s="11" customFormat="1" ht="12"/>
    <row r="40" ht="12">
      <c r="F40" s="3" t="s">
        <v>39</v>
      </c>
    </row>
  </sheetData>
  <sheetProtection/>
  <mergeCells count="6">
    <mergeCell ref="L5:AA5"/>
    <mergeCell ref="B10:P10"/>
    <mergeCell ref="B13:N13"/>
    <mergeCell ref="B9:X9"/>
    <mergeCell ref="B20:N20"/>
    <mergeCell ref="B15:G15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108" zoomScaleNormal="108" zoomScalePageLayoutView="0" workbookViewId="0" topLeftCell="A1">
      <selection activeCell="H15" sqref="H15"/>
    </sheetView>
  </sheetViews>
  <sheetFormatPr defaultColWidth="5.8515625" defaultRowHeight="12.75"/>
  <cols>
    <col min="1" max="1" width="5.8515625" style="0" customWidth="1"/>
    <col min="2" max="2" width="7.7109375" style="0" customWidth="1"/>
    <col min="3" max="4" width="5.8515625" style="0" customWidth="1"/>
    <col min="5" max="5" width="8.00390625" style="0" customWidth="1"/>
    <col min="6" max="7" width="5.8515625" style="0" customWidth="1"/>
    <col min="8" max="8" width="10.8515625" style="0" customWidth="1"/>
    <col min="9" max="9" width="5.8515625" style="0" customWidth="1"/>
    <col min="10" max="10" width="6.8515625" style="0" customWidth="1"/>
    <col min="11" max="11" width="11.28125" style="0" customWidth="1"/>
    <col min="12" max="12" width="5.8515625" style="0" customWidth="1"/>
    <col min="13" max="13" width="6.8515625" style="0" customWidth="1"/>
    <col min="14" max="14" width="5.8515625" style="0" customWidth="1"/>
    <col min="15" max="15" width="6.8515625" style="0" customWidth="1"/>
    <col min="16" max="16" width="5.8515625" style="0" customWidth="1"/>
    <col min="17" max="17" width="6.8515625" style="0" customWidth="1"/>
    <col min="18" max="25" width="5.8515625" style="0" customWidth="1"/>
    <col min="26" max="26" width="6.57421875" style="0" customWidth="1"/>
  </cols>
  <sheetData>
    <row r="1" spans="1:27" s="3" customFormat="1" ht="16.5">
      <c r="A1" s="38" t="s">
        <v>77</v>
      </c>
      <c r="B1" s="38" t="s">
        <v>78</v>
      </c>
      <c r="C1" s="8" t="s">
        <v>30</v>
      </c>
      <c r="D1" s="38" t="s">
        <v>62</v>
      </c>
      <c r="E1" s="38" t="s">
        <v>63</v>
      </c>
      <c r="F1" s="27" t="s">
        <v>60</v>
      </c>
      <c r="G1" s="32" t="s">
        <v>31</v>
      </c>
      <c r="H1" s="32" t="s">
        <v>32</v>
      </c>
      <c r="I1" s="34" t="s">
        <v>33</v>
      </c>
      <c r="J1" s="20" t="s">
        <v>64</v>
      </c>
      <c r="K1" s="36" t="s">
        <v>65</v>
      </c>
      <c r="L1" s="6" t="s">
        <v>49</v>
      </c>
      <c r="M1" s="46" t="s">
        <v>79</v>
      </c>
      <c r="N1" s="46" t="s">
        <v>80</v>
      </c>
      <c r="O1" s="22" t="s">
        <v>81</v>
      </c>
      <c r="P1" s="19" t="s">
        <v>66</v>
      </c>
      <c r="Q1" s="40" t="s">
        <v>22</v>
      </c>
      <c r="R1" s="41" t="s">
        <v>67</v>
      </c>
      <c r="S1" s="40" t="s">
        <v>23</v>
      </c>
      <c r="T1" s="23" t="s">
        <v>82</v>
      </c>
      <c r="U1" s="24" t="s">
        <v>69</v>
      </c>
      <c r="V1" s="25" t="s">
        <v>83</v>
      </c>
      <c r="W1" s="47" t="s">
        <v>72</v>
      </c>
      <c r="X1" s="48" t="s">
        <v>73</v>
      </c>
      <c r="Y1" s="48" t="s">
        <v>69</v>
      </c>
      <c r="Z1" s="26" t="s">
        <v>84</v>
      </c>
      <c r="AA1" s="3" t="s">
        <v>51</v>
      </c>
    </row>
    <row r="2" spans="1:26" s="3" customFormat="1" ht="12">
      <c r="A2" s="39" t="s">
        <v>44</v>
      </c>
      <c r="B2" s="39" t="s">
        <v>25</v>
      </c>
      <c r="C2" s="8" t="s">
        <v>26</v>
      </c>
      <c r="D2" s="39" t="s">
        <v>27</v>
      </c>
      <c r="E2" s="39" t="s">
        <v>27</v>
      </c>
      <c r="F2" s="27" t="s">
        <v>61</v>
      </c>
      <c r="G2" s="32" t="s">
        <v>29</v>
      </c>
      <c r="H2" s="32" t="s">
        <v>28</v>
      </c>
      <c r="I2" s="34" t="s">
        <v>29</v>
      </c>
      <c r="J2" s="20" t="s">
        <v>61</v>
      </c>
      <c r="K2" s="32"/>
      <c r="L2" s="6" t="s">
        <v>40</v>
      </c>
      <c r="M2" s="32" t="s">
        <v>16</v>
      </c>
      <c r="N2" s="32"/>
      <c r="O2" s="7" t="s">
        <v>17</v>
      </c>
      <c r="P2" s="8" t="s">
        <v>24</v>
      </c>
      <c r="Q2" s="40" t="s">
        <v>16</v>
      </c>
      <c r="R2" s="40"/>
      <c r="S2" s="40" t="s">
        <v>18</v>
      </c>
      <c r="T2" s="2" t="s">
        <v>5</v>
      </c>
      <c r="U2" s="2" t="s">
        <v>9</v>
      </c>
      <c r="V2" s="2" t="s">
        <v>19</v>
      </c>
      <c r="W2" s="40" t="s">
        <v>20</v>
      </c>
      <c r="X2" s="40" t="s">
        <v>19</v>
      </c>
      <c r="Y2" s="40" t="s">
        <v>21</v>
      </c>
      <c r="Z2" s="2"/>
    </row>
    <row r="3" spans="1:16" s="3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">
      <c r="A4" s="35">
        <v>8</v>
      </c>
      <c r="B4" s="35">
        <v>5</v>
      </c>
      <c r="C4" s="9">
        <f>A4*B4</f>
        <v>40</v>
      </c>
      <c r="D4" s="35">
        <v>0.76</v>
      </c>
      <c r="E4" s="35">
        <v>0.56</v>
      </c>
      <c r="F4" s="28">
        <f>D4*A4*1.3+E4*B4*1.3</f>
        <v>11.544</v>
      </c>
      <c r="G4" s="35">
        <v>2.13</v>
      </c>
      <c r="H4" s="35">
        <v>2.38</v>
      </c>
      <c r="I4" s="35">
        <v>2</v>
      </c>
      <c r="J4" s="1">
        <f>(1.3*G4+1.5*H4+1.5*I4)*C4</f>
        <v>373.56</v>
      </c>
      <c r="K4" s="37">
        <v>4</v>
      </c>
      <c r="L4" s="10">
        <f>(J4+F4)*K4</f>
        <v>1540.416</v>
      </c>
      <c r="M4" s="35">
        <v>275</v>
      </c>
      <c r="N4" s="35">
        <v>1.05</v>
      </c>
      <c r="O4" s="1">
        <f>M4/N4</f>
        <v>261.90476190476187</v>
      </c>
      <c r="P4" s="16">
        <f>L4*10/O4</f>
        <v>58.815883636363644</v>
      </c>
      <c r="Q4" s="43">
        <v>210000</v>
      </c>
      <c r="R4" s="40">
        <v>1</v>
      </c>
      <c r="S4" s="40">
        <v>3.5</v>
      </c>
      <c r="T4" s="2">
        <f>PI()*SQRT(Q4/O4)</f>
        <v>88.95857606856235</v>
      </c>
      <c r="U4" s="2">
        <f>R4*S4*100/T4</f>
        <v>3.9344154939063687</v>
      </c>
      <c r="V4" s="14">
        <f>P4*U4^2</f>
        <v>910.4478391259732</v>
      </c>
      <c r="W4" s="45">
        <v>64.34</v>
      </c>
      <c r="X4" s="43">
        <v>1955</v>
      </c>
      <c r="Y4" s="40">
        <v>5.51</v>
      </c>
      <c r="Z4" s="2">
        <f>R4*S4*100/Y4</f>
        <v>63.520871143375686</v>
      </c>
      <c r="AA4" s="3" t="s">
        <v>91</v>
      </c>
    </row>
    <row r="5" spans="1:26" s="3" customFormat="1" ht="12">
      <c r="A5" s="35"/>
      <c r="B5" s="35"/>
      <c r="C5" s="9"/>
      <c r="D5" s="35" t="s">
        <v>92</v>
      </c>
      <c r="E5" s="35" t="s">
        <v>90</v>
      </c>
      <c r="F5" s="28"/>
      <c r="G5" s="35"/>
      <c r="H5" s="35"/>
      <c r="I5" s="35"/>
      <c r="J5" s="1"/>
      <c r="K5" s="37"/>
      <c r="L5" s="10"/>
      <c r="M5" s="35"/>
      <c r="N5" s="35"/>
      <c r="O5" s="1"/>
      <c r="P5" s="16"/>
      <c r="Q5" s="43"/>
      <c r="R5" s="40"/>
      <c r="S5" s="40"/>
      <c r="T5" s="2"/>
      <c r="U5" s="2"/>
      <c r="V5" s="14"/>
      <c r="W5" s="45"/>
      <c r="X5" s="43"/>
      <c r="Y5" s="40"/>
      <c r="Z5" s="2"/>
    </row>
    <row r="6" spans="1:26" s="11" customFormat="1" ht="12">
      <c r="A6" s="88"/>
      <c r="B6" s="68"/>
      <c r="C6" s="69"/>
      <c r="D6" s="69"/>
      <c r="E6" s="69"/>
      <c r="F6" s="69"/>
      <c r="G6" s="69"/>
      <c r="H6" s="69"/>
      <c r="I6" s="69"/>
      <c r="J6" s="69"/>
      <c r="K6" s="56"/>
      <c r="L6" s="56"/>
      <c r="M6" s="69"/>
      <c r="N6" s="69"/>
      <c r="O6" s="69"/>
      <c r="P6" s="89"/>
      <c r="Q6" s="51"/>
      <c r="R6" s="53"/>
      <c r="S6" s="53"/>
      <c r="T6" s="53"/>
      <c r="U6" s="53"/>
      <c r="V6" s="51"/>
      <c r="W6" s="52"/>
      <c r="X6" s="51"/>
      <c r="Y6" s="53"/>
      <c r="Z6" s="53"/>
    </row>
    <row r="7" spans="2:26" s="3" customFormat="1" ht="10.5" customHeight="1">
      <c r="B7" s="74" t="s">
        <v>96</v>
      </c>
      <c r="C7" s="122"/>
      <c r="D7" s="122"/>
      <c r="E7" s="122"/>
      <c r="F7" s="122"/>
      <c r="G7" s="122"/>
      <c r="H7" s="122"/>
      <c r="I7" s="122"/>
      <c r="J7" s="122"/>
      <c r="K7" s="120"/>
      <c r="L7" s="120"/>
      <c r="M7" s="120"/>
      <c r="N7" s="120"/>
      <c r="O7" s="120"/>
      <c r="P7" s="121"/>
      <c r="Q7" s="1"/>
      <c r="R7" s="53"/>
      <c r="S7" s="53"/>
      <c r="T7" s="53"/>
      <c r="U7" s="53"/>
      <c r="V7" s="51"/>
      <c r="W7" s="52"/>
      <c r="X7" s="51"/>
      <c r="Y7" s="53"/>
      <c r="Z7" s="53"/>
    </row>
    <row r="8" spans="2:27" s="3" customFormat="1" ht="20.25" hidden="1">
      <c r="B8" s="57" t="s">
        <v>97</v>
      </c>
      <c r="C8" s="57" t="s">
        <v>98</v>
      </c>
      <c r="D8" s="58" t="s">
        <v>101</v>
      </c>
      <c r="E8" s="57" t="s">
        <v>99</v>
      </c>
      <c r="F8" s="57" t="s">
        <v>100</v>
      </c>
      <c r="G8" s="59" t="s">
        <v>102</v>
      </c>
      <c r="H8" s="31" t="s">
        <v>1</v>
      </c>
      <c r="I8" s="44" t="s">
        <v>50</v>
      </c>
      <c r="J8" s="31" t="s">
        <v>2</v>
      </c>
      <c r="K8" s="60" t="s">
        <v>103</v>
      </c>
      <c r="L8" s="31" t="s">
        <v>1</v>
      </c>
      <c r="M8" s="61" t="s">
        <v>104</v>
      </c>
      <c r="N8" s="31" t="s">
        <v>2</v>
      </c>
      <c r="O8" s="60" t="s">
        <v>107</v>
      </c>
      <c r="P8" s="63" t="s">
        <v>105</v>
      </c>
      <c r="Q8" s="1"/>
      <c r="R8" s="53">
        <v>1</v>
      </c>
      <c r="S8" s="53">
        <v>4</v>
      </c>
      <c r="T8" s="53" t="e">
        <f>PI()*SQRT(Q8/O8)</f>
        <v>#VALUE!</v>
      </c>
      <c r="U8" s="53" t="e">
        <f>R8*S8*100/T8</f>
        <v>#VALUE!</v>
      </c>
      <c r="V8" s="51" t="e">
        <f>P8*U8^2</f>
        <v>#VALUE!</v>
      </c>
      <c r="W8" s="52">
        <v>53.8</v>
      </c>
      <c r="X8" s="51">
        <v>1340</v>
      </c>
      <c r="Y8" s="53">
        <v>4.98</v>
      </c>
      <c r="Z8" s="53">
        <f>R8*S8*100/Y8</f>
        <v>80.32128514056224</v>
      </c>
      <c r="AA8" s="3" t="s">
        <v>10</v>
      </c>
    </row>
    <row r="9" spans="2:27" s="3" customFormat="1" ht="14.25" hidden="1">
      <c r="B9" s="6" t="s">
        <v>40</v>
      </c>
      <c r="C9" s="21" t="s">
        <v>75</v>
      </c>
      <c r="D9" s="9"/>
      <c r="E9" s="57" t="s">
        <v>109</v>
      </c>
      <c r="F9" s="62" t="s">
        <v>53</v>
      </c>
      <c r="G9" s="28"/>
      <c r="H9" s="35"/>
      <c r="I9" s="84" t="s">
        <v>56</v>
      </c>
      <c r="J9" s="35"/>
      <c r="K9" s="1" t="s">
        <v>14</v>
      </c>
      <c r="L9" s="35"/>
      <c r="M9" s="84" t="s">
        <v>56</v>
      </c>
      <c r="N9" s="35"/>
      <c r="O9" s="28"/>
      <c r="P9" s="28"/>
      <c r="Q9" s="1"/>
      <c r="R9" s="53">
        <v>1</v>
      </c>
      <c r="S9" s="53">
        <v>5</v>
      </c>
      <c r="T9" s="53" t="e">
        <f>PI()*SQRT(Q9/O9)</f>
        <v>#DIV/0!</v>
      </c>
      <c r="U9" s="53" t="e">
        <f>R9*S9*100/T9</f>
        <v>#DIV/0!</v>
      </c>
      <c r="V9" s="51" t="e">
        <f>P9*U9^2</f>
        <v>#DIV/0!</v>
      </c>
      <c r="W9" s="52">
        <v>76.8</v>
      </c>
      <c r="X9" s="51">
        <v>2770</v>
      </c>
      <c r="Y9" s="53">
        <v>6</v>
      </c>
      <c r="Z9" s="53">
        <f>R9*S9*100/Y9</f>
        <v>83.33333333333333</v>
      </c>
      <c r="AA9" s="3" t="s">
        <v>11</v>
      </c>
    </row>
    <row r="10" spans="2:26" s="3" customFormat="1" ht="17.25">
      <c r="B10" s="57" t="s">
        <v>97</v>
      </c>
      <c r="C10" s="57" t="s">
        <v>98</v>
      </c>
      <c r="D10" s="58"/>
      <c r="E10" s="57" t="s">
        <v>99</v>
      </c>
      <c r="F10" s="57" t="s">
        <v>100</v>
      </c>
      <c r="G10" s="59"/>
      <c r="H10" s="31" t="s">
        <v>111</v>
      </c>
      <c r="I10" s="91"/>
      <c r="J10" s="63" t="s">
        <v>105</v>
      </c>
      <c r="K10" s="60"/>
      <c r="L10" s="92"/>
      <c r="M10" s="60"/>
      <c r="N10" s="92"/>
      <c r="O10" s="60"/>
      <c r="Q10" s="1"/>
      <c r="R10" s="53"/>
      <c r="S10" s="53"/>
      <c r="T10" s="53" t="s">
        <v>6</v>
      </c>
      <c r="U10" s="53" t="s">
        <v>5</v>
      </c>
      <c r="V10" s="51"/>
      <c r="W10" s="52"/>
      <c r="X10" s="51"/>
      <c r="Y10" s="53"/>
      <c r="Z10" s="53"/>
    </row>
    <row r="11" spans="2:26" s="3" customFormat="1" ht="14.25">
      <c r="B11" s="6" t="s">
        <v>40</v>
      </c>
      <c r="C11" s="87" t="s">
        <v>76</v>
      </c>
      <c r="D11" s="9"/>
      <c r="E11" s="57" t="s">
        <v>109</v>
      </c>
      <c r="F11" s="62" t="s">
        <v>112</v>
      </c>
      <c r="G11" s="28"/>
      <c r="H11" s="35" t="s">
        <v>110</v>
      </c>
      <c r="I11" s="83"/>
      <c r="J11" s="28"/>
      <c r="K11" s="28"/>
      <c r="L11" s="28"/>
      <c r="M11" s="83"/>
      <c r="N11" s="28"/>
      <c r="O11" s="28"/>
      <c r="P11" s="28"/>
      <c r="Q11" s="1"/>
      <c r="R11" s="53"/>
      <c r="S11" s="53"/>
      <c r="T11" s="53" t="s">
        <v>6</v>
      </c>
      <c r="U11" s="53" t="s">
        <v>5</v>
      </c>
      <c r="V11" s="51"/>
      <c r="W11" s="52"/>
      <c r="X11" s="51"/>
      <c r="Y11" s="53"/>
      <c r="Z11" s="53"/>
    </row>
    <row r="12" spans="2:26" s="3" customFormat="1" ht="12">
      <c r="B12" s="77" t="s">
        <v>108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28"/>
      <c r="P12" s="28"/>
      <c r="Q12" s="1"/>
      <c r="R12" s="53"/>
      <c r="S12" s="53"/>
      <c r="T12" s="53" t="s">
        <v>5</v>
      </c>
      <c r="U12" s="53" t="s">
        <v>5</v>
      </c>
      <c r="V12" s="51"/>
      <c r="W12" s="52"/>
      <c r="X12" s="51"/>
      <c r="Y12" s="53"/>
      <c r="Z12" s="53"/>
    </row>
    <row r="13" spans="2:26" s="3" customFormat="1" ht="12">
      <c r="B13" s="35">
        <v>1724</v>
      </c>
      <c r="C13" s="35">
        <v>0.1</v>
      </c>
      <c r="D13" s="9"/>
      <c r="E13" s="128">
        <v>0.003</v>
      </c>
      <c r="F13" s="35">
        <f>(0.2*(0.5)^2)/6</f>
        <v>0.008333333333333333</v>
      </c>
      <c r="G13" s="65"/>
      <c r="H13" s="28">
        <v>261900</v>
      </c>
      <c r="I13" s="28"/>
      <c r="J13" s="124" t="b">
        <f>(B13/C13)+(E13/F13)&lt;H13</f>
        <v>1</v>
      </c>
      <c r="K13" s="28">
        <f>(B13/C13)+(E13/F13)</f>
        <v>17240.36</v>
      </c>
      <c r="L13" s="49"/>
      <c r="M13" s="50"/>
      <c r="N13" s="28"/>
      <c r="O13" s="28"/>
      <c r="P13" s="28"/>
      <c r="Q13" s="90"/>
      <c r="R13" s="53"/>
      <c r="S13" s="53"/>
      <c r="T13" s="53" t="s">
        <v>5</v>
      </c>
      <c r="U13" s="53" t="s">
        <v>8</v>
      </c>
      <c r="V13" s="51"/>
      <c r="W13" s="52"/>
      <c r="X13" s="51"/>
      <c r="Y13" s="53"/>
      <c r="Z13" s="53"/>
    </row>
    <row r="14" spans="1:26" s="3" customFormat="1" ht="12">
      <c r="A14" s="11"/>
      <c r="B14" s="123" t="s">
        <v>130</v>
      </c>
      <c r="C14" s="81"/>
      <c r="D14" s="81"/>
      <c r="E14" s="81"/>
      <c r="F14" s="81"/>
      <c r="G14" s="82"/>
      <c r="H14" s="28"/>
      <c r="I14" s="28"/>
      <c r="J14" s="28"/>
      <c r="K14" s="28"/>
      <c r="L14" s="49"/>
      <c r="M14" s="49"/>
      <c r="N14" s="28"/>
      <c r="O14" s="28"/>
      <c r="P14" s="28"/>
      <c r="Q14" s="28"/>
      <c r="R14" s="53"/>
      <c r="S14" s="53"/>
      <c r="T14" s="53" t="s">
        <v>5</v>
      </c>
      <c r="U14" s="53" t="s">
        <v>5</v>
      </c>
      <c r="V14" s="51"/>
      <c r="W14" s="52"/>
      <c r="X14" s="51"/>
      <c r="Y14" s="53"/>
      <c r="Z14" s="53"/>
    </row>
    <row r="15" spans="2:26" s="3" customFormat="1" ht="12">
      <c r="B15" s="35">
        <v>974</v>
      </c>
      <c r="C15" s="35">
        <v>0.1</v>
      </c>
      <c r="D15" s="9"/>
      <c r="E15" s="35">
        <v>1203</v>
      </c>
      <c r="F15" s="35">
        <f>(0.2*(0.5)^2)/6</f>
        <v>0.008333333333333333</v>
      </c>
      <c r="G15" s="65"/>
      <c r="H15" s="28">
        <v>261900</v>
      </c>
      <c r="I15" s="28"/>
      <c r="J15" s="124" t="b">
        <f>(B15/C15)+(E15/F15)&lt;H15</f>
        <v>1</v>
      </c>
      <c r="K15" s="28">
        <f>(B15/C15)+(E15/F15)</f>
        <v>154100</v>
      </c>
      <c r="L15" s="49"/>
      <c r="M15" s="50"/>
      <c r="N15" s="28"/>
      <c r="O15" s="28"/>
      <c r="P15" s="28"/>
      <c r="Q15" s="90"/>
      <c r="R15" s="53"/>
      <c r="S15" s="53"/>
      <c r="T15" s="53" t="s">
        <v>8</v>
      </c>
      <c r="U15" s="53" t="s">
        <v>8</v>
      </c>
      <c r="V15" s="51"/>
      <c r="W15" s="52"/>
      <c r="X15" s="51"/>
      <c r="Y15" s="53"/>
      <c r="Z15" s="53"/>
    </row>
    <row r="16" spans="1:26" s="3" customFormat="1" ht="12">
      <c r="A16" s="11"/>
      <c r="B16" s="28"/>
      <c r="C16" s="28"/>
      <c r="D16" s="28"/>
      <c r="E16" s="28"/>
      <c r="F16" s="28"/>
      <c r="G16" s="28"/>
      <c r="H16" s="28"/>
      <c r="I16" s="28"/>
      <c r="J16" s="28"/>
      <c r="K16" s="28" t="s">
        <v>14</v>
      </c>
      <c r="L16" s="49" t="s">
        <v>14</v>
      </c>
      <c r="M16" s="49"/>
      <c r="N16" s="28"/>
      <c r="O16" s="28"/>
      <c r="P16" s="28"/>
      <c r="Q16" s="28"/>
      <c r="R16" s="53"/>
      <c r="S16" s="53"/>
      <c r="T16" s="53" t="s">
        <v>6</v>
      </c>
      <c r="U16" s="53" t="s">
        <v>7</v>
      </c>
      <c r="V16" s="51"/>
      <c r="W16" s="52"/>
      <c r="X16" s="51"/>
      <c r="Y16" s="53"/>
      <c r="Z16" s="53"/>
    </row>
    <row r="17" spans="1:26" s="11" customFormat="1" ht="1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49"/>
      <c r="L17" s="49"/>
      <c r="M17" s="28"/>
      <c r="N17" s="28"/>
      <c r="O17" s="28"/>
      <c r="P17" s="50"/>
      <c r="Q17" s="53"/>
      <c r="R17" s="53"/>
      <c r="S17" s="53"/>
      <c r="T17" s="53"/>
      <c r="U17" s="53"/>
      <c r="V17" s="51"/>
      <c r="W17" s="52"/>
      <c r="X17" s="51"/>
      <c r="Y17" s="53"/>
      <c r="Z17" s="53"/>
    </row>
    <row r="18" spans="1:26" s="11" customFormat="1" ht="1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49"/>
      <c r="L18" s="49"/>
      <c r="M18" s="28"/>
      <c r="N18" s="28"/>
      <c r="O18" s="28"/>
      <c r="P18" s="50"/>
      <c r="Q18" s="53"/>
      <c r="R18" s="53"/>
      <c r="S18" s="53"/>
      <c r="T18" s="53"/>
      <c r="U18" s="53"/>
      <c r="V18" s="51"/>
      <c r="W18" s="52"/>
      <c r="X18" s="51"/>
      <c r="Y18" s="53"/>
      <c r="Z18" s="53"/>
    </row>
    <row r="19" spans="1:26" s="11" customFormat="1" ht="1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49"/>
      <c r="L19" s="49"/>
      <c r="M19" s="28"/>
      <c r="N19" s="28"/>
      <c r="O19" s="28"/>
      <c r="P19" s="50"/>
      <c r="Q19" s="53"/>
      <c r="R19" s="53"/>
      <c r="S19" s="53"/>
      <c r="T19" s="53"/>
      <c r="U19" s="53"/>
      <c r="V19" s="51"/>
      <c r="W19" s="52"/>
      <c r="X19" s="51"/>
      <c r="Y19" s="53"/>
      <c r="Z19" s="53"/>
    </row>
    <row r="20" spans="1:26" s="11" customFormat="1" ht="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49"/>
      <c r="L20" s="49"/>
      <c r="M20" s="28"/>
      <c r="N20" s="28"/>
      <c r="O20" s="28"/>
      <c r="P20" s="50"/>
      <c r="Q20" s="53"/>
      <c r="R20" s="53"/>
      <c r="S20" s="53"/>
      <c r="T20" s="53"/>
      <c r="U20" s="53"/>
      <c r="V20" s="51"/>
      <c r="W20" s="52"/>
      <c r="X20" s="51"/>
      <c r="Y20" s="53"/>
      <c r="Z20" s="53"/>
    </row>
    <row r="21" spans="1:26" s="11" customFormat="1" ht="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49"/>
      <c r="L21" s="49"/>
      <c r="M21" s="28"/>
      <c r="N21" s="28"/>
      <c r="O21" s="28"/>
      <c r="P21" s="50"/>
      <c r="Q21" s="53"/>
      <c r="R21" s="53"/>
      <c r="S21" s="53"/>
      <c r="T21" s="53"/>
      <c r="U21" s="53"/>
      <c r="V21" s="51"/>
      <c r="W21" s="52"/>
      <c r="X21" s="51"/>
      <c r="Y21" s="53"/>
      <c r="Z21" s="53"/>
    </row>
    <row r="22" spans="1:26" s="11" customFormat="1" ht="1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49"/>
      <c r="L22" s="49"/>
      <c r="M22" s="28"/>
      <c r="N22" s="28"/>
      <c r="O22" s="28"/>
      <c r="P22" s="50"/>
      <c r="Q22" s="53"/>
      <c r="R22" s="53"/>
      <c r="S22" s="53"/>
      <c r="T22" s="53"/>
      <c r="U22" s="53"/>
      <c r="V22" s="51"/>
      <c r="W22" s="52"/>
      <c r="X22" s="51"/>
      <c r="Y22" s="53"/>
      <c r="Z22" s="53"/>
    </row>
    <row r="23" spans="1:26" s="11" customFormat="1" ht="1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49"/>
      <c r="L23" s="49"/>
      <c r="M23" s="28"/>
      <c r="N23" s="28"/>
      <c r="O23" s="28"/>
      <c r="P23" s="50"/>
      <c r="Q23" s="53"/>
      <c r="R23" s="53"/>
      <c r="S23" s="53"/>
      <c r="T23" s="53"/>
      <c r="U23" s="53"/>
      <c r="V23" s="51"/>
      <c r="W23" s="52"/>
      <c r="X23" s="51"/>
      <c r="Y23" s="53"/>
      <c r="Z23" s="53"/>
    </row>
    <row r="24" spans="1:26" s="11" customFormat="1" ht="1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49"/>
      <c r="L24" s="49"/>
      <c r="M24" s="28"/>
      <c r="N24" s="28"/>
      <c r="O24" s="28"/>
      <c r="P24" s="50"/>
      <c r="Q24" s="53"/>
      <c r="R24" s="53"/>
      <c r="S24" s="53"/>
      <c r="T24" s="53"/>
      <c r="U24" s="53"/>
      <c r="V24" s="51"/>
      <c r="W24" s="52"/>
      <c r="X24" s="51"/>
      <c r="Y24" s="53"/>
      <c r="Z24" s="53"/>
    </row>
    <row r="25" spans="1:26" s="11" customFormat="1" ht="1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9"/>
      <c r="L25" s="49"/>
      <c r="M25" s="28"/>
      <c r="N25" s="28"/>
      <c r="O25" s="28"/>
      <c r="P25" s="50"/>
      <c r="Q25" s="53"/>
      <c r="R25" s="53"/>
      <c r="S25" s="54"/>
      <c r="T25" s="53"/>
      <c r="U25" s="53"/>
      <c r="V25" s="51"/>
      <c r="W25" s="52"/>
      <c r="X25" s="51"/>
      <c r="Y25" s="53"/>
      <c r="Z25" s="53"/>
    </row>
  </sheetData>
  <sheetProtection/>
  <mergeCells count="3">
    <mergeCell ref="B12:N12"/>
    <mergeCell ref="B7:J7"/>
    <mergeCell ref="B14:G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"/>
  <sheetViews>
    <sheetView zoomScale="104" zoomScaleNormal="104" zoomScalePageLayoutView="0" workbookViewId="0" topLeftCell="A7">
      <selection activeCell="L23" sqref="L23"/>
    </sheetView>
  </sheetViews>
  <sheetFormatPr defaultColWidth="5.8515625" defaultRowHeight="12.75"/>
  <cols>
    <col min="1" max="1" width="11.7109375" style="4" customWidth="1"/>
    <col min="2" max="2" width="8.421875" style="4" customWidth="1"/>
    <col min="3" max="3" width="8.7109375" style="4" customWidth="1"/>
    <col min="4" max="4" width="9.8515625" style="4" customWidth="1"/>
    <col min="5" max="5" width="9.140625" style="4" customWidth="1"/>
    <col min="6" max="6" width="11.57421875" style="4" customWidth="1"/>
    <col min="7" max="7" width="10.8515625" style="4" customWidth="1"/>
    <col min="8" max="8" width="12.57421875" style="4" customWidth="1"/>
    <col min="9" max="10" width="9.57421875" style="4" customWidth="1"/>
    <col min="11" max="11" width="8.8515625" style="4" customWidth="1"/>
    <col min="12" max="16" width="5.8515625" style="4" customWidth="1"/>
    <col min="17" max="17" width="7.57421875" style="4" customWidth="1"/>
    <col min="18" max="18" width="8.8515625" style="4" customWidth="1"/>
    <col min="19" max="19" width="5.8515625" style="4" customWidth="1"/>
    <col min="20" max="20" width="8.140625" style="4" customWidth="1"/>
    <col min="21" max="21" width="17.57421875" style="4" customWidth="1"/>
    <col min="22" max="26" width="5.8515625" style="4" customWidth="1"/>
    <col min="27" max="27" width="6.8515625" style="4" customWidth="1"/>
    <col min="28" max="28" width="8.8515625" style="30" customWidth="1"/>
    <col min="29" max="29" width="9.00390625" style="4" customWidth="1"/>
    <col min="30" max="30" width="8.421875" style="4" customWidth="1"/>
    <col min="31" max="32" width="8.8515625" style="4" customWidth="1"/>
    <col min="33" max="33" width="6.8515625" style="4" customWidth="1"/>
    <col min="34" max="16384" width="5.8515625" style="4" customWidth="1"/>
  </cols>
  <sheetData>
    <row r="1" spans="1:32" ht="13.5" customHeight="1">
      <c r="A1" s="38" t="s">
        <v>58</v>
      </c>
      <c r="B1" s="38" t="s">
        <v>57</v>
      </c>
      <c r="C1" s="19" t="s">
        <v>59</v>
      </c>
      <c r="D1" s="38" t="s">
        <v>62</v>
      </c>
      <c r="E1" s="38" t="s">
        <v>63</v>
      </c>
      <c r="F1" s="27" t="s">
        <v>60</v>
      </c>
      <c r="G1" s="32" t="s">
        <v>31</v>
      </c>
      <c r="H1" s="32" t="s">
        <v>32</v>
      </c>
      <c r="I1" s="34" t="s">
        <v>33</v>
      </c>
      <c r="J1" s="20" t="s">
        <v>64</v>
      </c>
      <c r="K1" s="36" t="s">
        <v>65</v>
      </c>
      <c r="L1" s="6" t="s">
        <v>49</v>
      </c>
      <c r="M1" s="31" t="s">
        <v>12</v>
      </c>
      <c r="N1" s="15" t="s">
        <v>13</v>
      </c>
      <c r="O1" s="19" t="s">
        <v>66</v>
      </c>
      <c r="P1" s="19" t="s">
        <v>70</v>
      </c>
      <c r="Q1" s="40" t="s">
        <v>22</v>
      </c>
      <c r="R1" s="41" t="s">
        <v>67</v>
      </c>
      <c r="S1" s="40" t="s">
        <v>23</v>
      </c>
      <c r="T1" s="23" t="s">
        <v>82</v>
      </c>
      <c r="U1" s="24" t="s">
        <v>69</v>
      </c>
      <c r="V1" s="21" t="s">
        <v>70</v>
      </c>
      <c r="W1" s="40" t="s">
        <v>35</v>
      </c>
      <c r="X1" s="21" t="s">
        <v>71</v>
      </c>
      <c r="Y1" s="40" t="s">
        <v>34</v>
      </c>
      <c r="Z1" s="21" t="s">
        <v>72</v>
      </c>
      <c r="AA1" s="21" t="s">
        <v>73</v>
      </c>
      <c r="AB1" s="29" t="s">
        <v>85</v>
      </c>
      <c r="AC1" s="21" t="s">
        <v>86</v>
      </c>
      <c r="AD1" s="21" t="s">
        <v>87</v>
      </c>
      <c r="AE1" s="21" t="s">
        <v>88</v>
      </c>
      <c r="AF1" s="21" t="s">
        <v>89</v>
      </c>
    </row>
    <row r="2" spans="1:32" ht="13.5" customHeight="1">
      <c r="A2" s="39" t="s">
        <v>44</v>
      </c>
      <c r="B2" s="39" t="s">
        <v>25</v>
      </c>
      <c r="C2" s="8" t="s">
        <v>26</v>
      </c>
      <c r="D2" s="39" t="s">
        <v>27</v>
      </c>
      <c r="E2" s="39" t="s">
        <v>27</v>
      </c>
      <c r="F2" s="27" t="s">
        <v>61</v>
      </c>
      <c r="G2" s="32" t="s">
        <v>29</v>
      </c>
      <c r="H2" s="32" t="s">
        <v>28</v>
      </c>
      <c r="I2" s="34" t="s">
        <v>29</v>
      </c>
      <c r="J2" s="20" t="s">
        <v>61</v>
      </c>
      <c r="K2" s="32"/>
      <c r="L2" s="6" t="s">
        <v>40</v>
      </c>
      <c r="M2" s="32" t="s">
        <v>42</v>
      </c>
      <c r="N2" s="7" t="s">
        <v>43</v>
      </c>
      <c r="O2" s="8" t="s">
        <v>24</v>
      </c>
      <c r="P2" s="8" t="s">
        <v>48</v>
      </c>
      <c r="Q2" s="40" t="s">
        <v>16</v>
      </c>
      <c r="R2" s="40"/>
      <c r="S2" s="40" t="s">
        <v>18</v>
      </c>
      <c r="T2" s="2" t="s">
        <v>5</v>
      </c>
      <c r="U2" s="2" t="s">
        <v>9</v>
      </c>
      <c r="V2" s="2" t="s">
        <v>48</v>
      </c>
      <c r="W2" s="40" t="s">
        <v>45</v>
      </c>
      <c r="X2" s="2" t="s">
        <v>48</v>
      </c>
      <c r="Y2" s="40" t="s">
        <v>48</v>
      </c>
      <c r="Z2" s="2" t="s">
        <v>3</v>
      </c>
      <c r="AA2" s="2" t="s">
        <v>4</v>
      </c>
      <c r="AB2" s="14" t="s">
        <v>52</v>
      </c>
      <c r="AC2" s="2" t="s">
        <v>53</v>
      </c>
      <c r="AD2" s="2" t="s">
        <v>54</v>
      </c>
      <c r="AE2" s="2" t="s">
        <v>55</v>
      </c>
      <c r="AF2" s="2" t="s">
        <v>56</v>
      </c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2"/>
      <c r="N3" s="17"/>
      <c r="O3" s="11"/>
      <c r="P3" s="11"/>
      <c r="Q3" s="3"/>
      <c r="R3" s="3"/>
      <c r="S3" s="3"/>
      <c r="T3" s="3"/>
      <c r="U3" s="3"/>
    </row>
    <row r="4" spans="1:33" ht="13.5" customHeight="1">
      <c r="A4" s="35">
        <v>6</v>
      </c>
      <c r="B4" s="35">
        <v>5</v>
      </c>
      <c r="C4" s="9">
        <f>A4*B4</f>
        <v>30</v>
      </c>
      <c r="D4" s="35">
        <v>2.6</v>
      </c>
      <c r="E4" s="35">
        <v>2.1</v>
      </c>
      <c r="F4" s="28">
        <f>1.3*A4*D4+1.3*B4*E4</f>
        <v>33.93</v>
      </c>
      <c r="G4" s="35">
        <v>2.05</v>
      </c>
      <c r="H4" s="35">
        <v>2.45</v>
      </c>
      <c r="I4" s="35">
        <v>2</v>
      </c>
      <c r="J4" s="1">
        <f>(1.3*G4+1.5*H4+1.5*I4)*C4</f>
        <v>280.2</v>
      </c>
      <c r="K4" s="37">
        <v>4</v>
      </c>
      <c r="L4" s="10">
        <f>(J4+F4)*K4</f>
        <v>1256.52</v>
      </c>
      <c r="M4" s="33">
        <v>50</v>
      </c>
      <c r="N4" s="18">
        <f>0.85*M4/1.5</f>
        <v>28.333333333333332</v>
      </c>
      <c r="O4" s="16">
        <f>L4*10/N4</f>
        <v>443.47764705882355</v>
      </c>
      <c r="P4" s="16">
        <f>SQRT(O4)</f>
        <v>21.058908971236463</v>
      </c>
      <c r="Q4" s="43">
        <v>21000</v>
      </c>
      <c r="R4" s="40">
        <v>0.5</v>
      </c>
      <c r="S4" s="40">
        <v>3.5</v>
      </c>
      <c r="T4" s="2">
        <f>PI()*SQRT(Q4/N4)</f>
        <v>85.52846634952321</v>
      </c>
      <c r="U4" s="2">
        <f>R4*S4*100/T4</f>
        <v>2.046102396889004</v>
      </c>
      <c r="V4" s="2">
        <f>U4*SQRT(12)</f>
        <v>7.08790661780043</v>
      </c>
      <c r="W4" s="40">
        <v>40</v>
      </c>
      <c r="X4" s="2">
        <f>O4/W4</f>
        <v>11.086941176470589</v>
      </c>
      <c r="Y4" s="40">
        <v>40</v>
      </c>
      <c r="Z4" s="13">
        <f>W4*Y4</f>
        <v>1600</v>
      </c>
      <c r="AA4" s="14">
        <f>Y4*W4^3/12</f>
        <v>213333.33333333334</v>
      </c>
      <c r="AB4" s="14">
        <f>W4*Y4^3/12</f>
        <v>213333.33333333334</v>
      </c>
      <c r="AC4" s="2">
        <f>W4*Y4^2/6</f>
        <v>10666.666666666666</v>
      </c>
      <c r="AD4" s="2">
        <f>(1.3*G4+1.5*H4+1.5*I4)*B4</f>
        <v>46.7</v>
      </c>
      <c r="AE4" s="2">
        <f>AD4*A4^2/12</f>
        <v>140.1</v>
      </c>
      <c r="AF4" s="2">
        <f>(L4/Z4)*10+(AE4/AC4)*1000</f>
        <v>20.987625</v>
      </c>
      <c r="AG4" s="4" t="str">
        <f>IF(AF4&lt;N4,"Sì","No")</f>
        <v>Sì</v>
      </c>
    </row>
    <row r="5" spans="1:32" ht="13.5" customHeight="1">
      <c r="A5" s="35"/>
      <c r="B5" s="35"/>
      <c r="C5" s="9"/>
      <c r="D5" s="35" t="s">
        <v>95</v>
      </c>
      <c r="E5" s="35" t="s">
        <v>93</v>
      </c>
      <c r="F5" s="28"/>
      <c r="G5" s="35"/>
      <c r="H5" s="35"/>
      <c r="I5" s="35"/>
      <c r="J5" s="1"/>
      <c r="K5" s="37"/>
      <c r="L5" s="10"/>
      <c r="M5" s="33"/>
      <c r="N5" s="18"/>
      <c r="O5" s="16"/>
      <c r="P5" s="16"/>
      <c r="Q5" s="43"/>
      <c r="R5" s="40"/>
      <c r="S5" s="40"/>
      <c r="T5" s="2"/>
      <c r="U5" s="2"/>
      <c r="V5" s="2"/>
      <c r="W5" s="40"/>
      <c r="X5" s="2"/>
      <c r="Y5" s="40"/>
      <c r="Z5" s="13"/>
      <c r="AA5" s="14"/>
      <c r="AB5" s="14"/>
      <c r="AC5" s="2"/>
      <c r="AD5" s="2"/>
      <c r="AE5" s="2"/>
      <c r="AF5" s="2"/>
    </row>
    <row r="6" ht="12.75"/>
    <row r="7" spans="1:20" ht="13.5" thickBot="1">
      <c r="A7" s="94" t="s">
        <v>113</v>
      </c>
      <c r="B7" s="94"/>
      <c r="C7" s="94"/>
      <c r="D7" s="94"/>
      <c r="E7" s="94"/>
      <c r="F7" s="94"/>
      <c r="G7" s="94"/>
      <c r="H7" s="94"/>
      <c r="I7" s="9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9" ht="26.25" thickBot="1">
      <c r="A8" s="100" t="s">
        <v>99</v>
      </c>
      <c r="B8" s="100" t="s">
        <v>97</v>
      </c>
      <c r="C8" s="101" t="s">
        <v>114</v>
      </c>
      <c r="E8" s="100" t="s">
        <v>115</v>
      </c>
      <c r="G8" s="102" t="s">
        <v>119</v>
      </c>
      <c r="H8" s="102" t="s">
        <v>120</v>
      </c>
      <c r="I8" s="102" t="s">
        <v>121</v>
      </c>
    </row>
    <row r="9" spans="1:9" ht="13.5" thickBot="1">
      <c r="A9" s="100" t="s">
        <v>116</v>
      </c>
      <c r="B9" s="100" t="s">
        <v>117</v>
      </c>
      <c r="C9" s="101" t="s">
        <v>118</v>
      </c>
      <c r="E9" s="100" t="s">
        <v>118</v>
      </c>
      <c r="G9" s="102" t="s">
        <v>122</v>
      </c>
      <c r="H9" s="102" t="s">
        <v>122</v>
      </c>
      <c r="I9" s="102" t="s">
        <v>122</v>
      </c>
    </row>
    <row r="10" spans="1:9" ht="16.5" customHeight="1">
      <c r="A10" s="95">
        <v>7.73289E-05</v>
      </c>
      <c r="B10" s="4">
        <v>1563</v>
      </c>
      <c r="C10" s="4">
        <f>A10/B10</f>
        <v>4.9474664107485606E-08</v>
      </c>
      <c r="E10" s="4">
        <v>0.4</v>
      </c>
      <c r="G10" s="96" t="str">
        <f>IF(C10&lt;E10/6,"VERO","FALSO")</f>
        <v>VERO</v>
      </c>
      <c r="H10" s="4" t="str">
        <f>IF(E10/6&lt;C10&lt;E10/2,"VERO","FALSO")</f>
        <v>FALSO</v>
      </c>
      <c r="I10" s="4" t="str">
        <f>IF(C10&gt;E10/2,"VERO","FALSO")</f>
        <v>FALSO</v>
      </c>
    </row>
    <row r="11" ht="12.75">
      <c r="A11" s="97" t="s">
        <v>123</v>
      </c>
    </row>
    <row r="12" spans="1:9" ht="16.5" customHeight="1">
      <c r="A12" s="4">
        <v>1294</v>
      </c>
      <c r="B12" s="4">
        <v>900</v>
      </c>
      <c r="C12" s="4">
        <f>A12/B12</f>
        <v>1.4377777777777778</v>
      </c>
      <c r="E12" s="4">
        <v>0.4</v>
      </c>
      <c r="G12" s="96" t="str">
        <f>IF(C12&lt;E12/6,"VERO","FALSO")</f>
        <v>FALSO</v>
      </c>
      <c r="H12" s="4" t="str">
        <f>IF(E12/6&lt;C12&lt;E12/2,"VERO","FALSO")</f>
        <v>FALSO</v>
      </c>
      <c r="I12" s="4" t="str">
        <f>IF(C12&gt;E12/2,"VERO","FALSO")</f>
        <v>VERO</v>
      </c>
    </row>
    <row r="13" ht="12.75">
      <c r="A13" s="97" t="s">
        <v>124</v>
      </c>
    </row>
    <row r="14" ht="12.75"/>
    <row r="15" spans="1:9" ht="12.75">
      <c r="A15" s="103" t="s">
        <v>128</v>
      </c>
      <c r="B15" s="104"/>
      <c r="C15" s="104"/>
      <c r="D15" s="104"/>
      <c r="E15" s="104"/>
      <c r="F15" s="104"/>
      <c r="G15" s="104"/>
      <c r="H15" s="104"/>
      <c r="I15" s="104"/>
    </row>
    <row r="16" spans="1:28" s="98" customFormat="1" ht="13.5" thickBot="1">
      <c r="A16" s="105" t="s">
        <v>99</v>
      </c>
      <c r="B16" s="105" t="s">
        <v>97</v>
      </c>
      <c r="C16" s="105" t="s">
        <v>98</v>
      </c>
      <c r="D16" s="105" t="s">
        <v>100</v>
      </c>
      <c r="E16" s="109"/>
      <c r="F16" s="105" t="s">
        <v>126</v>
      </c>
      <c r="G16" s="109"/>
      <c r="H16" s="105" t="s">
        <v>105</v>
      </c>
      <c r="I16" s="105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AB16" s="106"/>
    </row>
    <row r="17" spans="1:9" ht="13.5" thickBot="1">
      <c r="A17" s="100" t="s">
        <v>116</v>
      </c>
      <c r="B17" s="100" t="s">
        <v>117</v>
      </c>
      <c r="C17" s="108" t="s">
        <v>125</v>
      </c>
      <c r="D17" s="108" t="s">
        <v>112</v>
      </c>
      <c r="E17" s="110"/>
      <c r="F17" s="108" t="s">
        <v>127</v>
      </c>
      <c r="G17" s="111"/>
      <c r="H17" s="107"/>
      <c r="I17" s="107"/>
    </row>
    <row r="18" spans="1:9" ht="12.75">
      <c r="A18" s="95">
        <v>7.73289E-05</v>
      </c>
      <c r="B18" s="4">
        <v>1563</v>
      </c>
      <c r="C18" s="4">
        <v>0.16</v>
      </c>
      <c r="D18" s="95">
        <v>0.01066667</v>
      </c>
      <c r="F18" s="4">
        <v>28300</v>
      </c>
      <c r="G18" s="110" t="s">
        <v>39</v>
      </c>
      <c r="H18" s="99" t="b">
        <f>(B18/C18)+(A18/D18)&lt;F18</f>
        <v>1</v>
      </c>
      <c r="I18" s="4">
        <f>(B18/C18)+(A18/D18)</f>
        <v>9768.75724958211</v>
      </c>
    </row>
    <row r="19" spans="1:8" ht="12.75">
      <c r="A19" s="95"/>
      <c r="D19" s="95"/>
      <c r="G19" s="110"/>
      <c r="H19" s="110"/>
    </row>
    <row r="20" spans="1:8" ht="12.75">
      <c r="A20" s="95"/>
      <c r="D20" s="95"/>
      <c r="G20" s="110"/>
      <c r="H20" s="110"/>
    </row>
    <row r="21" spans="1:27" ht="12.75">
      <c r="A21" s="113" t="s">
        <v>129</v>
      </c>
      <c r="B21" s="114"/>
      <c r="C21" s="114"/>
      <c r="D21" s="114"/>
      <c r="E21" s="114"/>
      <c r="F21" s="114"/>
      <c r="G21" s="114"/>
      <c r="H21" s="114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0"/>
      <c r="U21" s="110"/>
      <c r="V21" s="110"/>
      <c r="W21" s="110"/>
      <c r="X21" s="110"/>
      <c r="Y21" s="110"/>
      <c r="Z21" s="110"/>
      <c r="AA21" s="110"/>
    </row>
    <row r="22" spans="1:27" ht="15">
      <c r="A22" s="116"/>
      <c r="B22" s="116"/>
      <c r="C22" s="117"/>
      <c r="D22" s="117"/>
      <c r="E22" s="117"/>
      <c r="F22" s="117"/>
      <c r="G22" s="117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9" ht="12.75">
      <c r="A23" s="118"/>
      <c r="B23" s="118"/>
      <c r="C23" s="118"/>
      <c r="D23" s="118"/>
      <c r="E23" s="118"/>
      <c r="F23" s="118"/>
      <c r="G23" s="118"/>
      <c r="H23" s="110"/>
      <c r="I23" s="110"/>
    </row>
    <row r="24" spans="1:9" ht="12">
      <c r="A24" s="110"/>
      <c r="B24" s="110"/>
      <c r="C24" s="110"/>
      <c r="D24" s="110"/>
      <c r="E24" s="110"/>
      <c r="F24" s="110"/>
      <c r="G24" s="110"/>
      <c r="H24" s="110"/>
      <c r="I24" s="110"/>
    </row>
    <row r="25" spans="1:9" ht="12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9" ht="12">
      <c r="A26" s="110"/>
      <c r="B26" s="110"/>
      <c r="C26" s="110"/>
      <c r="D26" s="110"/>
      <c r="E26" s="110"/>
      <c r="F26" s="110"/>
      <c r="G26" s="110"/>
      <c r="H26" s="110"/>
      <c r="I26" s="110"/>
    </row>
  </sheetData>
  <sheetProtection/>
  <mergeCells count="2">
    <mergeCell ref="A15:I15"/>
    <mergeCell ref="A7:I7"/>
  </mergeCells>
  <printOptions/>
  <pageMargins left="0.75" right="0.75" top="1" bottom="1" header="0.5" footer="0.5"/>
  <pageSetup horizontalDpi="1200" verticalDpi="12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mac</cp:lastModifiedBy>
  <cp:lastPrinted>2011-03-29T18:14:40Z</cp:lastPrinted>
  <dcterms:created xsi:type="dcterms:W3CDTF">2010-04-15T07:05:20Z</dcterms:created>
  <dcterms:modified xsi:type="dcterms:W3CDTF">2017-12-30T17:22:21Z</dcterms:modified>
  <cp:category/>
  <cp:version/>
  <cp:contentType/>
  <cp:contentStatus/>
</cp:coreProperties>
</file>